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ou-eú\Výroční zpráva\Výroční zpráva 2015\VZ o hospodaření 2015\"/>
    </mc:Choice>
  </mc:AlternateContent>
  <bookViews>
    <workbookView xWindow="-60" yWindow="-105" windowWidth="19035" windowHeight="8310" tabRatio="823"/>
  </bookViews>
  <sheets>
    <sheet name="1" sheetId="44" r:id="rId1"/>
    <sheet name="2" sheetId="45" r:id="rId2"/>
    <sheet name="2a škola" sheetId="46" r:id="rId3"/>
    <sheet name="2b Koleje a menzy" sheetId="47" r:id="rId4"/>
    <sheet name="3" sheetId="3" r:id="rId5"/>
    <sheet name="4" sheetId="43" r:id="rId6"/>
    <sheet name="5 " sheetId="23" r:id="rId7"/>
    <sheet name="5.a" sheetId="24" r:id="rId8"/>
    <sheet name="5.b" sheetId="25" r:id="rId9"/>
    <sheet name="5.c" sheetId="26" r:id="rId10"/>
    <sheet name="5.d" sheetId="28" r:id="rId11"/>
    <sheet name="6" sheetId="10" r:id="rId12"/>
    <sheet name="7" sheetId="29" r:id="rId13"/>
    <sheet name="8" sheetId="12" r:id="rId14"/>
    <sheet name="9" sheetId="48" r:id="rId15"/>
    <sheet name="10" sheetId="14" r:id="rId16"/>
    <sheet name="11" sheetId="31" r:id="rId17"/>
    <sheet name="11.a" sheetId="32" r:id="rId18"/>
    <sheet name="11.b" sheetId="33" r:id="rId19"/>
    <sheet name="11.c" sheetId="34" r:id="rId20"/>
    <sheet name="11.d" sheetId="35" r:id="rId21"/>
    <sheet name="11.e" sheetId="36" r:id="rId22"/>
    <sheet name="11.f" sheetId="37" r:id="rId23"/>
    <sheet name="11.g" sheetId="38" r:id="rId24"/>
  </sheets>
  <externalReferences>
    <externalReference r:id="rId25"/>
  </externalReferences>
  <definedNames>
    <definedName name="_xlnm._FilterDatabase" localSheetId="6" hidden="1">'5 '!$A$1:$I$35</definedName>
    <definedName name="_xlnm.Print_Titles" localSheetId="0">'1'!$5:$5</definedName>
    <definedName name="_xlnm.Print_Titles" localSheetId="6">'5 '!$3:$5</definedName>
    <definedName name="_xlnm.Print_Area" localSheetId="0">'1'!$A$1:$E$147</definedName>
    <definedName name="_xlnm.Print_Area" localSheetId="1">'2'!$A$1:$E$99</definedName>
    <definedName name="_xlnm.Print_Area" localSheetId="2">'2a škola'!$A$1:$E$99</definedName>
    <definedName name="_xlnm.Print_Area" localSheetId="3">'2b Koleje a menzy'!$A$1:$E$99</definedName>
    <definedName name="_xlnm.Print_Area" localSheetId="4">'3'!$A$1:$D$22</definedName>
    <definedName name="_xlnm.Print_Area" localSheetId="10">'5.d'!$A:$S</definedName>
    <definedName name="_xlnm.Print_Area" localSheetId="11">'6'!$A$1:$F$30</definedName>
    <definedName name="_xlnm.Print_Area" localSheetId="13">'8'!$A$1:$Z$38</definedName>
    <definedName name="Z_2AF6EA2A_E5C5_45EB_B6C4_875AD1E4E056_.wvu.PrintArea" localSheetId="0" hidden="1">'1'!$A$1:$E$147</definedName>
    <definedName name="Z_2AF6EA2A_E5C5_45EB_B6C4_875AD1E4E056_.wvu.PrintArea" localSheetId="1" hidden="1">'2'!$A$1:$E$99</definedName>
    <definedName name="Z_2AF6EA2A_E5C5_45EB_B6C4_875AD1E4E056_.wvu.PrintArea" localSheetId="2" hidden="1">'2a škola'!$A$1:$E$99</definedName>
    <definedName name="Z_2AF6EA2A_E5C5_45EB_B6C4_875AD1E4E056_.wvu.PrintArea" localSheetId="3" hidden="1">'2b Koleje a menzy'!$A$1:$E$99</definedName>
    <definedName name="Z_2AF6EA2A_E5C5_45EB_B6C4_875AD1E4E056_.wvu.PrintArea" localSheetId="4" hidden="1">'3'!$A$1:$D$22</definedName>
    <definedName name="Z_2AF6EA2A_E5C5_45EB_B6C4_875AD1E4E056_.wvu.PrintArea" localSheetId="11" hidden="1">'6'!$A$1:$F$30</definedName>
    <definedName name="Z_2AF6EA2A_E5C5_45EB_B6C4_875AD1E4E056_.wvu.PrintArea" localSheetId="13" hidden="1">'8'!$A$1:$Z$38</definedName>
    <definedName name="Z_2AF6EA2A_E5C5_45EB_B6C4_875AD1E4E056_.wvu.PrintTitles" localSheetId="0" hidden="1">'1'!$5:$5</definedName>
  </definedNames>
  <calcPr calcId="152511" concurrentCalc="0"/>
  <customWorkbookViews>
    <customWorkbookView name="Uldrichová Marie – osobní zobrazení" guid="{2AF6EA2A-E5C5-45EB-B6C4-875AD1E4E056}" mergeInterval="0" personalView="1" maximized="1" windowWidth="1676" windowHeight="755" tabRatio="823" activeSheetId="10"/>
  </customWorkbookViews>
</workbook>
</file>

<file path=xl/calcChain.xml><?xml version="1.0" encoding="utf-8"?>
<calcChain xmlns="http://schemas.openxmlformats.org/spreadsheetml/2006/main">
  <c r="C26" i="33" l="1"/>
  <c r="K26" i="33"/>
  <c r="Q21" i="12"/>
  <c r="R21" i="12"/>
  <c r="Q25" i="12"/>
  <c r="R25" i="12"/>
  <c r="D42" i="25"/>
  <c r="C43" i="25"/>
  <c r="C42" i="25"/>
  <c r="G45" i="25"/>
  <c r="D45" i="25"/>
  <c r="H45" i="25"/>
  <c r="L45" i="25"/>
  <c r="C44" i="25"/>
  <c r="G44" i="25"/>
  <c r="D44" i="25"/>
  <c r="H44" i="25"/>
  <c r="L44" i="25"/>
  <c r="D9" i="29"/>
  <c r="E16" i="29"/>
  <c r="D6" i="29"/>
  <c r="D11" i="29"/>
  <c r="E17" i="29"/>
  <c r="D16" i="29"/>
  <c r="E15" i="29"/>
  <c r="C20" i="33"/>
  <c r="C21" i="33"/>
  <c r="C27" i="33"/>
  <c r="C19" i="33"/>
  <c r="C30" i="33"/>
  <c r="C34" i="33"/>
  <c r="K8" i="31"/>
  <c r="K9" i="31"/>
  <c r="C15" i="35"/>
  <c r="K10" i="31"/>
  <c r="C10" i="37"/>
  <c r="K14" i="31"/>
  <c r="K6" i="31"/>
  <c r="K15" i="31"/>
  <c r="I11" i="31"/>
  <c r="P42" i="28"/>
  <c r="P40" i="28"/>
  <c r="P39" i="28"/>
  <c r="P38" i="28"/>
  <c r="P33" i="28"/>
  <c r="P29" i="28"/>
  <c r="P27" i="28"/>
  <c r="P22" i="28"/>
  <c r="P20" i="28"/>
  <c r="P18" i="28"/>
  <c r="P15" i="28"/>
  <c r="P14" i="28"/>
  <c r="P13" i="28"/>
  <c r="P12" i="28"/>
  <c r="P10" i="28"/>
  <c r="P9" i="28"/>
  <c r="A7" i="24"/>
  <c r="A8" i="24"/>
  <c r="A9" i="24"/>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E37" i="24"/>
  <c r="I37" i="24"/>
  <c r="H37" i="24"/>
  <c r="G38" i="24"/>
  <c r="F38" i="24"/>
  <c r="H38" i="24"/>
  <c r="E38" i="24"/>
  <c r="I38" i="24"/>
  <c r="D13" i="10"/>
  <c r="D14" i="10"/>
  <c r="E9" i="14"/>
  <c r="L9" i="14"/>
  <c r="N9" i="14"/>
  <c r="L10" i="14"/>
  <c r="N10" i="14"/>
  <c r="L11" i="14"/>
  <c r="N11" i="14"/>
  <c r="L12" i="14"/>
  <c r="N12" i="14"/>
  <c r="L13" i="14"/>
  <c r="N13" i="14"/>
  <c r="N14" i="14"/>
  <c r="L14" i="14"/>
  <c r="K27" i="14"/>
  <c r="O33" i="24"/>
  <c r="O9" i="24"/>
  <c r="K14" i="12"/>
  <c r="I14" i="12"/>
  <c r="L14" i="12"/>
  <c r="J14" i="12"/>
  <c r="F14" i="12"/>
  <c r="H25" i="12"/>
  <c r="J25" i="12"/>
  <c r="H24" i="12"/>
  <c r="J21" i="12"/>
  <c r="J22" i="12"/>
  <c r="J23" i="12"/>
  <c r="J24" i="12"/>
  <c r="J27" i="12"/>
  <c r="H28" i="12"/>
  <c r="I28" i="12"/>
  <c r="I29" i="12"/>
  <c r="E29" i="12"/>
  <c r="F28" i="12"/>
  <c r="E28" i="12"/>
  <c r="I27" i="12"/>
  <c r="I25" i="12"/>
  <c r="I24" i="12"/>
  <c r="I23" i="12"/>
  <c r="I22" i="12"/>
  <c r="H27" i="12"/>
  <c r="H26" i="12"/>
  <c r="J26" i="12"/>
  <c r="H23" i="12"/>
  <c r="H22" i="12"/>
  <c r="H21" i="12"/>
  <c r="I21" i="12"/>
  <c r="H29" i="12"/>
  <c r="E14" i="10"/>
  <c r="E7" i="10"/>
  <c r="I26" i="12"/>
  <c r="D34" i="25"/>
  <c r="N10" i="28"/>
  <c r="O44" i="25"/>
  <c r="A8" i="25"/>
  <c r="A9" i="25"/>
  <c r="A10" i="25"/>
  <c r="A11" i="25"/>
  <c r="A12" i="25"/>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F75" i="23"/>
  <c r="AB45" i="28"/>
  <c r="AA45" i="28"/>
  <c r="Y45" i="28"/>
  <c r="X45" i="28"/>
  <c r="V45" i="28"/>
  <c r="U45" i="28"/>
  <c r="AB42" i="28"/>
  <c r="AA42" i="28"/>
  <c r="Y42" i="28"/>
  <c r="X42" i="28"/>
  <c r="V42" i="28"/>
  <c r="U42" i="28"/>
  <c r="AB40" i="28"/>
  <c r="AA40" i="28"/>
  <c r="Y40" i="28"/>
  <c r="X40" i="28"/>
  <c r="V40" i="28"/>
  <c r="U40" i="28"/>
  <c r="AB39" i="28"/>
  <c r="AA39" i="28"/>
  <c r="Y39" i="28"/>
  <c r="X39" i="28"/>
  <c r="V39" i="28"/>
  <c r="U39" i="28"/>
  <c r="AB38" i="28"/>
  <c r="AA38" i="28"/>
  <c r="Y38" i="28"/>
  <c r="X38" i="28"/>
  <c r="V38" i="28"/>
  <c r="U38" i="28"/>
  <c r="AB33" i="28"/>
  <c r="AA33" i="28"/>
  <c r="Y33" i="28"/>
  <c r="X33" i="28"/>
  <c r="V33" i="28"/>
  <c r="U33" i="28"/>
  <c r="AB29" i="28"/>
  <c r="AA29" i="28"/>
  <c r="Y29" i="28"/>
  <c r="X29" i="28"/>
  <c r="V29" i="28"/>
  <c r="U29" i="28"/>
  <c r="AB27" i="28"/>
  <c r="AA27" i="28"/>
  <c r="Y27" i="28"/>
  <c r="X27" i="28"/>
  <c r="V27" i="28"/>
  <c r="U27" i="28"/>
  <c r="AB22" i="28"/>
  <c r="AA22" i="28"/>
  <c r="Y22" i="28"/>
  <c r="X22" i="28"/>
  <c r="V22" i="28"/>
  <c r="U22" i="28"/>
  <c r="AB20" i="28"/>
  <c r="AA20" i="28"/>
  <c r="Y20" i="28"/>
  <c r="X20" i="28"/>
  <c r="V20" i="28"/>
  <c r="U20" i="28"/>
  <c r="AB18" i="28"/>
  <c r="AA18" i="28"/>
  <c r="Y18" i="28"/>
  <c r="X18" i="28"/>
  <c r="V18" i="28"/>
  <c r="U18" i="28"/>
  <c r="AB15" i="28"/>
  <c r="AA15" i="28"/>
  <c r="Y15" i="28"/>
  <c r="X15" i="28"/>
  <c r="V15" i="28"/>
  <c r="U15" i="28"/>
  <c r="AB14" i="28"/>
  <c r="AA14" i="28"/>
  <c r="Y14" i="28"/>
  <c r="X14" i="28"/>
  <c r="V14" i="28"/>
  <c r="U14" i="28"/>
  <c r="AB13" i="28"/>
  <c r="AA13" i="28"/>
  <c r="Y13" i="28"/>
  <c r="X13" i="28"/>
  <c r="V13" i="28"/>
  <c r="U13" i="28"/>
  <c r="AB12" i="28"/>
  <c r="AA12" i="28"/>
  <c r="Y12" i="28"/>
  <c r="X12" i="28"/>
  <c r="V12" i="28"/>
  <c r="U12" i="28"/>
  <c r="AB10" i="28"/>
  <c r="AA10" i="28"/>
  <c r="Y10" i="28"/>
  <c r="X10" i="28"/>
  <c r="V10" i="28"/>
  <c r="U10" i="28"/>
  <c r="AB9" i="28"/>
  <c r="AA9" i="28"/>
  <c r="Y9" i="28"/>
  <c r="X9" i="28"/>
  <c r="V9" i="28"/>
  <c r="U9" i="28"/>
  <c r="R45" i="28"/>
  <c r="R42" i="28"/>
  <c r="R40" i="28"/>
  <c r="R39" i="28"/>
  <c r="R38" i="28"/>
  <c r="R33" i="28"/>
  <c r="R29" i="28"/>
  <c r="R27" i="28"/>
  <c r="R22" i="28"/>
  <c r="R20" i="28"/>
  <c r="R18" i="28"/>
  <c r="R15" i="28"/>
  <c r="R14" i="28"/>
  <c r="R13" i="28"/>
  <c r="R12" i="28"/>
  <c r="R10" i="28"/>
  <c r="R9" i="28"/>
  <c r="N42" i="28"/>
  <c r="N40" i="28"/>
  <c r="N39" i="28"/>
  <c r="N38" i="28"/>
  <c r="N33" i="28"/>
  <c r="N29" i="28"/>
  <c r="N27" i="28"/>
  <c r="N22" i="28"/>
  <c r="N20" i="28"/>
  <c r="N18" i="28"/>
  <c r="N15" i="28"/>
  <c r="N14" i="28"/>
  <c r="N13" i="28"/>
  <c r="N12" i="28"/>
  <c r="N9" i="28"/>
  <c r="H9" i="28"/>
  <c r="H10" i="28"/>
  <c r="H12" i="28"/>
  <c r="H13" i="28"/>
  <c r="H14" i="28"/>
  <c r="H15" i="28"/>
  <c r="H45" i="28"/>
  <c r="J45" i="28"/>
  <c r="J42" i="28"/>
  <c r="J40" i="28"/>
  <c r="J39" i="28"/>
  <c r="J38" i="28"/>
  <c r="J33" i="28"/>
  <c r="I33" i="28"/>
  <c r="J29" i="28"/>
  <c r="J27" i="28"/>
  <c r="J22" i="28"/>
  <c r="J20" i="28"/>
  <c r="J18" i="28"/>
  <c r="J15" i="28"/>
  <c r="J14" i="28"/>
  <c r="J13" i="28"/>
  <c r="J12" i="28"/>
  <c r="J10" i="28"/>
  <c r="J9" i="28"/>
  <c r="H42" i="28"/>
  <c r="H40" i="28"/>
  <c r="H39" i="28"/>
  <c r="H38" i="28"/>
  <c r="H33" i="28"/>
  <c r="H29" i="28"/>
  <c r="H27" i="28"/>
  <c r="H22" i="28"/>
  <c r="H20" i="28"/>
  <c r="H18" i="28"/>
  <c r="K11" i="23"/>
  <c r="I11" i="23"/>
  <c r="B12" i="3"/>
  <c r="D13" i="25"/>
  <c r="K34" i="25"/>
  <c r="K32" i="25"/>
  <c r="N31" i="25"/>
  <c r="K31" i="25"/>
  <c r="J31" i="25"/>
  <c r="E31" i="25"/>
  <c r="F31" i="25"/>
  <c r="D32" i="25"/>
  <c r="D33" i="25"/>
  <c r="D31" i="25"/>
  <c r="C34" i="25"/>
  <c r="C31" i="25"/>
  <c r="N25" i="25"/>
  <c r="F25" i="25"/>
  <c r="E25" i="25"/>
  <c r="E33" i="24"/>
  <c r="E34" i="24"/>
  <c r="D34" i="24"/>
  <c r="D31" i="24"/>
  <c r="E31" i="24"/>
  <c r="E30" i="24"/>
  <c r="D28" i="24"/>
  <c r="O27" i="24"/>
  <c r="M27" i="24"/>
  <c r="F27" i="24"/>
  <c r="G27" i="24"/>
  <c r="J27" i="24"/>
  <c r="K27" i="24"/>
  <c r="L27" i="24"/>
  <c r="D27" i="24"/>
  <c r="E28" i="24"/>
  <c r="I28" i="24"/>
  <c r="P28" i="24"/>
  <c r="H28" i="24"/>
  <c r="H31" i="24"/>
  <c r="H30" i="24"/>
  <c r="O30" i="24"/>
  <c r="M30" i="24"/>
  <c r="L30" i="24"/>
  <c r="K30" i="24"/>
  <c r="J30" i="24"/>
  <c r="G30" i="24"/>
  <c r="F30" i="24"/>
  <c r="D30" i="24"/>
  <c r="J26" i="25"/>
  <c r="J25" i="25"/>
  <c r="D26" i="24"/>
  <c r="I31" i="24"/>
  <c r="L7" i="26"/>
  <c r="D37" i="25"/>
  <c r="D36" i="25"/>
  <c r="P31" i="24"/>
  <c r="I30" i="24"/>
  <c r="P30" i="24"/>
  <c r="K26" i="25"/>
  <c r="K25" i="25"/>
  <c r="D26" i="25"/>
  <c r="D28" i="25"/>
  <c r="D25" i="25"/>
  <c r="C26" i="25"/>
  <c r="C25" i="25"/>
  <c r="G27" i="25"/>
  <c r="H27" i="25"/>
  <c r="O27" i="25"/>
  <c r="K22" i="25"/>
  <c r="D18" i="25"/>
  <c r="C13" i="25"/>
  <c r="K13" i="25"/>
  <c r="K10" i="25"/>
  <c r="D10" i="25"/>
  <c r="L27" i="25"/>
  <c r="K12" i="24"/>
  <c r="K9" i="24"/>
  <c r="J9" i="24"/>
  <c r="D17" i="24"/>
  <c r="D12" i="24"/>
  <c r="K30" i="48"/>
  <c r="L30" i="48"/>
  <c r="K29" i="48"/>
  <c r="L29" i="48"/>
  <c r="L28" i="48"/>
  <c r="M28" i="48"/>
  <c r="M16" i="48"/>
  <c r="M19" i="48"/>
  <c r="M23" i="48"/>
  <c r="M10" i="48"/>
  <c r="K28" i="48"/>
  <c r="J28" i="48"/>
  <c r="I28" i="48"/>
  <c r="I27" i="48"/>
  <c r="I16" i="48"/>
  <c r="I19" i="48"/>
  <c r="I23" i="48"/>
  <c r="I10" i="48"/>
  <c r="H28" i="48"/>
  <c r="G28" i="48"/>
  <c r="F28" i="48"/>
  <c r="E28" i="48"/>
  <c r="E27" i="48"/>
  <c r="D28" i="48"/>
  <c r="J27" i="48"/>
  <c r="H27" i="48"/>
  <c r="G27" i="48"/>
  <c r="F27" i="48"/>
  <c r="K26" i="48"/>
  <c r="L26" i="48"/>
  <c r="D25" i="48"/>
  <c r="K25" i="48"/>
  <c r="K24" i="48"/>
  <c r="L24" i="48"/>
  <c r="J23" i="48"/>
  <c r="H23" i="48"/>
  <c r="G23" i="48"/>
  <c r="F23" i="48"/>
  <c r="E23" i="48"/>
  <c r="D23" i="48"/>
  <c r="K22" i="48"/>
  <c r="L22" i="48"/>
  <c r="K21" i="48"/>
  <c r="L21" i="48"/>
  <c r="D20" i="48"/>
  <c r="K20" i="48"/>
  <c r="J19" i="48"/>
  <c r="H19" i="48"/>
  <c r="G19" i="48"/>
  <c r="F19" i="48"/>
  <c r="E19" i="48"/>
  <c r="D19" i="48"/>
  <c r="F18" i="48"/>
  <c r="D18" i="48"/>
  <c r="K18" i="48"/>
  <c r="L18" i="48"/>
  <c r="D17" i="48"/>
  <c r="K17" i="48"/>
  <c r="J16" i="48"/>
  <c r="H16" i="48"/>
  <c r="H10" i="48"/>
  <c r="G16" i="48"/>
  <c r="F16" i="48"/>
  <c r="E16" i="48"/>
  <c r="D16" i="48"/>
  <c r="D15" i="48"/>
  <c r="K15" i="48"/>
  <c r="L15" i="48"/>
  <c r="K14" i="48"/>
  <c r="L14" i="48"/>
  <c r="G13" i="48"/>
  <c r="F13" i="48"/>
  <c r="D13" i="48"/>
  <c r="K13" i="48"/>
  <c r="L13" i="48"/>
  <c r="G12" i="48"/>
  <c r="G10" i="48"/>
  <c r="F12" i="48"/>
  <c r="D12" i="48"/>
  <c r="D11" i="48"/>
  <c r="K11" i="48"/>
  <c r="L11" i="48"/>
  <c r="J10" i="48"/>
  <c r="F10" i="48"/>
  <c r="K23" i="48"/>
  <c r="L25" i="48"/>
  <c r="L23" i="48"/>
  <c r="K27" i="48"/>
  <c r="L27" i="48"/>
  <c r="E10" i="48"/>
  <c r="K16" i="48"/>
  <c r="L16" i="48"/>
  <c r="L20" i="48"/>
  <c r="L19" i="48"/>
  <c r="K19" i="48"/>
  <c r="K12" i="48"/>
  <c r="L12" i="48"/>
  <c r="L10" i="48"/>
  <c r="L17" i="48"/>
  <c r="D10" i="48"/>
  <c r="K10" i="48"/>
  <c r="H11" i="31"/>
  <c r="H7" i="31"/>
  <c r="C8" i="33"/>
  <c r="C9" i="33"/>
  <c r="C14" i="33"/>
  <c r="C18" i="33"/>
  <c r="I8" i="31"/>
  <c r="J8" i="31"/>
  <c r="N16" i="36"/>
  <c r="N11" i="36"/>
  <c r="I12" i="36"/>
  <c r="F25" i="36"/>
  <c r="R19" i="36"/>
  <c r="R23" i="36"/>
  <c r="P21" i="36"/>
  <c r="P23" i="36"/>
  <c r="O21" i="36"/>
  <c r="O23" i="36"/>
  <c r="N21" i="36"/>
  <c r="N23" i="36"/>
  <c r="M21" i="36"/>
  <c r="M23" i="36"/>
  <c r="L21" i="36"/>
  <c r="L23" i="36"/>
  <c r="K21" i="36"/>
  <c r="K23" i="36"/>
  <c r="Q22" i="36"/>
  <c r="Q23" i="36"/>
  <c r="J22" i="36"/>
  <c r="J23" i="36"/>
  <c r="I22" i="36"/>
  <c r="I23" i="36"/>
  <c r="H22" i="36"/>
  <c r="H23" i="36"/>
  <c r="H17" i="38"/>
  <c r="E4" i="38"/>
  <c r="F13" i="29"/>
  <c r="N8" i="28"/>
  <c r="I10" i="28"/>
  <c r="P8" i="28"/>
  <c r="L40" i="28"/>
  <c r="S40" i="28"/>
  <c r="A8" i="28"/>
  <c r="E88" i="46"/>
  <c r="D88" i="46"/>
  <c r="F88" i="46"/>
  <c r="E85" i="46"/>
  <c r="D85" i="46"/>
  <c r="E83" i="46"/>
  <c r="D83" i="46"/>
  <c r="F83" i="46"/>
  <c r="E82" i="46"/>
  <c r="D82" i="46"/>
  <c r="E81" i="46"/>
  <c r="E80" i="46"/>
  <c r="D81" i="46"/>
  <c r="D80" i="46"/>
  <c r="F80" i="46"/>
  <c r="E79" i="46"/>
  <c r="D79" i="46"/>
  <c r="E78" i="46"/>
  <c r="D78" i="46"/>
  <c r="F78" i="46"/>
  <c r="E77" i="46"/>
  <c r="D77" i="46"/>
  <c r="E76" i="46"/>
  <c r="D76" i="46"/>
  <c r="F76" i="46"/>
  <c r="E75" i="46"/>
  <c r="D75" i="46"/>
  <c r="E74" i="46"/>
  <c r="D74" i="46"/>
  <c r="E73" i="46"/>
  <c r="D73" i="46"/>
  <c r="E71" i="46"/>
  <c r="D71" i="46"/>
  <c r="F71" i="46"/>
  <c r="E70" i="46"/>
  <c r="D70" i="46"/>
  <c r="E69" i="46"/>
  <c r="D69" i="46"/>
  <c r="F69" i="46"/>
  <c r="E68" i="46"/>
  <c r="D68" i="46"/>
  <c r="E67" i="46"/>
  <c r="D67" i="46"/>
  <c r="F67" i="46"/>
  <c r="E66" i="46"/>
  <c r="D66" i="46"/>
  <c r="E65" i="46"/>
  <c r="D65" i="46"/>
  <c r="F65" i="46"/>
  <c r="E63" i="46"/>
  <c r="D63" i="46"/>
  <c r="E62" i="46"/>
  <c r="D62" i="46"/>
  <c r="F62" i="46"/>
  <c r="E61" i="46"/>
  <c r="D61" i="46"/>
  <c r="E60" i="46"/>
  <c r="D60" i="46"/>
  <c r="F60" i="46"/>
  <c r="E58" i="46"/>
  <c r="D58" i="46"/>
  <c r="E57" i="46"/>
  <c r="D57" i="46"/>
  <c r="F57" i="46"/>
  <c r="E56" i="46"/>
  <c r="D56" i="46"/>
  <c r="E55" i="46"/>
  <c r="D55" i="46"/>
  <c r="D54" i="46"/>
  <c r="F54" i="46"/>
  <c r="E53" i="46"/>
  <c r="D53" i="46"/>
  <c r="E52" i="46"/>
  <c r="D52" i="46"/>
  <c r="F52" i="46"/>
  <c r="E51" i="46"/>
  <c r="D51" i="46"/>
  <c r="E47" i="46"/>
  <c r="D47" i="46"/>
  <c r="E45" i="46"/>
  <c r="D45" i="46"/>
  <c r="E44" i="46"/>
  <c r="D44" i="46"/>
  <c r="E42" i="46"/>
  <c r="D42" i="46"/>
  <c r="E41" i="46"/>
  <c r="F41" i="46"/>
  <c r="D41" i="46"/>
  <c r="E40" i="46"/>
  <c r="D40" i="46"/>
  <c r="E39" i="46"/>
  <c r="F39" i="46"/>
  <c r="D39" i="46"/>
  <c r="E38" i="46"/>
  <c r="D38" i="46"/>
  <c r="E37" i="46"/>
  <c r="D37" i="46"/>
  <c r="E35" i="46"/>
  <c r="D35" i="46"/>
  <c r="E34" i="46"/>
  <c r="D34" i="46"/>
  <c r="D27" i="46"/>
  <c r="E33" i="46"/>
  <c r="D33" i="46"/>
  <c r="F33" i="46"/>
  <c r="E32" i="46"/>
  <c r="F32" i="46"/>
  <c r="D32" i="46"/>
  <c r="E31" i="46"/>
  <c r="D31" i="46"/>
  <c r="F31" i="46"/>
  <c r="E30" i="46"/>
  <c r="F30" i="46"/>
  <c r="D30" i="46"/>
  <c r="E29" i="46"/>
  <c r="D29" i="46"/>
  <c r="F29" i="46"/>
  <c r="E28" i="46"/>
  <c r="D28" i="46"/>
  <c r="E26" i="46"/>
  <c r="D26" i="46"/>
  <c r="F26" i="46"/>
  <c r="E25" i="46"/>
  <c r="D25" i="46"/>
  <c r="E24" i="46"/>
  <c r="D24" i="46"/>
  <c r="D23" i="46"/>
  <c r="F23" i="46"/>
  <c r="E22" i="46"/>
  <c r="D22" i="46"/>
  <c r="E21" i="46"/>
  <c r="D21" i="46"/>
  <c r="F21" i="46"/>
  <c r="E20" i="46"/>
  <c r="F20" i="46"/>
  <c r="D20" i="46"/>
  <c r="E19" i="46"/>
  <c r="D19" i="46"/>
  <c r="E18" i="46"/>
  <c r="E17" i="46"/>
  <c r="D18" i="46"/>
  <c r="E16" i="46"/>
  <c r="D16" i="46"/>
  <c r="F16" i="46"/>
  <c r="E15" i="46"/>
  <c r="F15" i="46"/>
  <c r="D15" i="46"/>
  <c r="E14" i="46"/>
  <c r="D14" i="46"/>
  <c r="E13" i="46"/>
  <c r="F13" i="46"/>
  <c r="D13" i="46"/>
  <c r="E11" i="46"/>
  <c r="D11" i="46"/>
  <c r="F11" i="46"/>
  <c r="E10" i="46"/>
  <c r="D10" i="46"/>
  <c r="E9" i="46"/>
  <c r="D9" i="46"/>
  <c r="D7" i="46"/>
  <c r="E8" i="46"/>
  <c r="E7" i="46"/>
  <c r="D8" i="46"/>
  <c r="F9" i="29"/>
  <c r="M15" i="31"/>
  <c r="M10" i="31"/>
  <c r="M7" i="31"/>
  <c r="D6" i="36"/>
  <c r="D11" i="36"/>
  <c r="D16" i="36"/>
  <c r="R14" i="12"/>
  <c r="N14" i="12"/>
  <c r="Z14" i="12"/>
  <c r="E11" i="12"/>
  <c r="E20" i="10"/>
  <c r="D20" i="10"/>
  <c r="F14" i="10"/>
  <c r="AB32" i="28"/>
  <c r="AB31" i="28"/>
  <c r="AB30" i="28"/>
  <c r="K33" i="28"/>
  <c r="L33" i="28"/>
  <c r="S33" i="28"/>
  <c r="N41" i="25"/>
  <c r="K41" i="25"/>
  <c r="J41" i="25"/>
  <c r="F41" i="25"/>
  <c r="K34" i="23"/>
  <c r="K46" i="23"/>
  <c r="E41" i="25"/>
  <c r="F64" i="23"/>
  <c r="D7" i="47"/>
  <c r="E7" i="47"/>
  <c r="F8" i="47"/>
  <c r="F9" i="47"/>
  <c r="F7" i="47"/>
  <c r="F10" i="47"/>
  <c r="F11" i="47"/>
  <c r="D12" i="47"/>
  <c r="E12" i="47"/>
  <c r="F13" i="47"/>
  <c r="F14" i="47"/>
  <c r="F15" i="47"/>
  <c r="F16" i="47"/>
  <c r="D17" i="47"/>
  <c r="E17" i="47"/>
  <c r="F17" i="47"/>
  <c r="F18" i="47"/>
  <c r="F19" i="47"/>
  <c r="F20" i="47"/>
  <c r="F21" i="47"/>
  <c r="F22" i="47"/>
  <c r="D23" i="47"/>
  <c r="E23" i="47"/>
  <c r="F23" i="47"/>
  <c r="F24" i="47"/>
  <c r="F25" i="47"/>
  <c r="F26" i="47"/>
  <c r="D27" i="47"/>
  <c r="E27" i="47"/>
  <c r="F28" i="47"/>
  <c r="F29" i="47"/>
  <c r="F30" i="47"/>
  <c r="F31" i="47"/>
  <c r="F32" i="47"/>
  <c r="F33" i="47"/>
  <c r="F34" i="47"/>
  <c r="F35" i="47"/>
  <c r="D36" i="47"/>
  <c r="F36" i="47"/>
  <c r="E36" i="47"/>
  <c r="F37" i="47"/>
  <c r="F38" i="47"/>
  <c r="F39" i="47"/>
  <c r="F40" i="47"/>
  <c r="F41" i="47"/>
  <c r="F42" i="47"/>
  <c r="D43" i="47"/>
  <c r="F43" i="47"/>
  <c r="E43" i="47"/>
  <c r="F44" i="47"/>
  <c r="F45" i="47"/>
  <c r="D46" i="47"/>
  <c r="F46" i="47"/>
  <c r="E46" i="47"/>
  <c r="F47" i="47"/>
  <c r="D50" i="47"/>
  <c r="E50" i="47"/>
  <c r="F51" i="47"/>
  <c r="F52" i="47"/>
  <c r="F53" i="47"/>
  <c r="D54" i="47"/>
  <c r="E54" i="47"/>
  <c r="F54" i="47"/>
  <c r="F55" i="47"/>
  <c r="F56" i="47"/>
  <c r="F57" i="47"/>
  <c r="F58" i="47"/>
  <c r="D59" i="47"/>
  <c r="F59" i="47"/>
  <c r="E59" i="47"/>
  <c r="F60" i="47"/>
  <c r="F61" i="47"/>
  <c r="F62" i="47"/>
  <c r="F63" i="47"/>
  <c r="D64" i="47"/>
  <c r="F64" i="47"/>
  <c r="E64" i="47"/>
  <c r="F65" i="47"/>
  <c r="F66" i="47"/>
  <c r="F67" i="47"/>
  <c r="F68" i="47"/>
  <c r="F69" i="47"/>
  <c r="F70" i="47"/>
  <c r="F71" i="47"/>
  <c r="D72" i="47"/>
  <c r="E72" i="47"/>
  <c r="F72" i="47"/>
  <c r="F73" i="47"/>
  <c r="F74" i="47"/>
  <c r="F75" i="47"/>
  <c r="F76" i="47"/>
  <c r="F77" i="47"/>
  <c r="F78" i="47"/>
  <c r="F79" i="47"/>
  <c r="D80" i="47"/>
  <c r="F80" i="47"/>
  <c r="E80" i="47"/>
  <c r="F81" i="47"/>
  <c r="F82" i="47"/>
  <c r="F83" i="47"/>
  <c r="D84" i="47"/>
  <c r="F84" i="47"/>
  <c r="E84" i="47"/>
  <c r="F85" i="47"/>
  <c r="F88" i="47"/>
  <c r="F9" i="46"/>
  <c r="F10" i="46"/>
  <c r="E12" i="46"/>
  <c r="F22" i="46"/>
  <c r="E23" i="46"/>
  <c r="F25" i="46"/>
  <c r="F28" i="46"/>
  <c r="F35" i="46"/>
  <c r="D36" i="46"/>
  <c r="F38" i="46"/>
  <c r="F40" i="46"/>
  <c r="F42" i="46"/>
  <c r="D43" i="46"/>
  <c r="F45" i="46"/>
  <c r="D46" i="46"/>
  <c r="D50" i="46"/>
  <c r="F51" i="46"/>
  <c r="F53" i="46"/>
  <c r="F55" i="46"/>
  <c r="F56" i="46"/>
  <c r="F58" i="46"/>
  <c r="E59" i="46"/>
  <c r="F61" i="46"/>
  <c r="F63" i="46"/>
  <c r="F66" i="46"/>
  <c r="F68" i="46"/>
  <c r="F70" i="46"/>
  <c r="E72" i="46"/>
  <c r="F73" i="46"/>
  <c r="F75" i="46"/>
  <c r="F77" i="46"/>
  <c r="F79" i="46"/>
  <c r="F81" i="46"/>
  <c r="F82" i="46"/>
  <c r="D84" i="46"/>
  <c r="D7" i="45"/>
  <c r="E7" i="45"/>
  <c r="F8" i="45"/>
  <c r="F9" i="45"/>
  <c r="F10" i="45"/>
  <c r="F11" i="45"/>
  <c r="D12" i="45"/>
  <c r="F12" i="45"/>
  <c r="E12" i="45"/>
  <c r="F13" i="45"/>
  <c r="F14" i="45"/>
  <c r="F15" i="45"/>
  <c r="F16" i="45"/>
  <c r="D17" i="45"/>
  <c r="E17" i="45"/>
  <c r="F17" i="45"/>
  <c r="F18" i="45"/>
  <c r="F19" i="45"/>
  <c r="F20" i="45"/>
  <c r="F21" i="45"/>
  <c r="F22" i="45"/>
  <c r="D23" i="45"/>
  <c r="E23" i="45"/>
  <c r="F23" i="45"/>
  <c r="F24" i="45"/>
  <c r="F25" i="45"/>
  <c r="F26" i="45"/>
  <c r="D27" i="45"/>
  <c r="E27" i="45"/>
  <c r="E48" i="45"/>
  <c r="F28" i="45"/>
  <c r="F29" i="45"/>
  <c r="F30" i="45"/>
  <c r="F31" i="45"/>
  <c r="F32" i="45"/>
  <c r="F33" i="45"/>
  <c r="F34" i="45"/>
  <c r="F35" i="45"/>
  <c r="D36" i="45"/>
  <c r="F36" i="45"/>
  <c r="E36" i="45"/>
  <c r="F37" i="45"/>
  <c r="F38" i="45"/>
  <c r="F39" i="45"/>
  <c r="F40" i="45"/>
  <c r="F41" i="45"/>
  <c r="F42" i="45"/>
  <c r="D43" i="45"/>
  <c r="F43" i="45"/>
  <c r="E43" i="45"/>
  <c r="F44" i="45"/>
  <c r="F45" i="45"/>
  <c r="D46" i="45"/>
  <c r="E46" i="45"/>
  <c r="F46" i="45"/>
  <c r="F47" i="45"/>
  <c r="D50" i="45"/>
  <c r="E50" i="45"/>
  <c r="F51" i="45"/>
  <c r="F52" i="45"/>
  <c r="F53" i="45"/>
  <c r="D54" i="45"/>
  <c r="E54" i="45"/>
  <c r="F55" i="45"/>
  <c r="F56" i="45"/>
  <c r="F57" i="45"/>
  <c r="F58" i="45"/>
  <c r="D59" i="45"/>
  <c r="E59" i="45"/>
  <c r="F59" i="45"/>
  <c r="F60" i="45"/>
  <c r="F61" i="45"/>
  <c r="F62" i="45"/>
  <c r="F63" i="45"/>
  <c r="D64" i="45"/>
  <c r="E64" i="45"/>
  <c r="F65" i="45"/>
  <c r="F66" i="45"/>
  <c r="F67" i="45"/>
  <c r="F68" i="45"/>
  <c r="F69" i="45"/>
  <c r="F70" i="45"/>
  <c r="F71" i="45"/>
  <c r="D72" i="45"/>
  <c r="F72" i="45"/>
  <c r="E72" i="45"/>
  <c r="F73" i="45"/>
  <c r="F74" i="45"/>
  <c r="F75" i="45"/>
  <c r="F76" i="45"/>
  <c r="F77" i="45"/>
  <c r="F78" i="45"/>
  <c r="F79" i="45"/>
  <c r="D80" i="45"/>
  <c r="F80" i="45"/>
  <c r="E80" i="45"/>
  <c r="F81" i="45"/>
  <c r="F82" i="45"/>
  <c r="F83" i="45"/>
  <c r="D84" i="45"/>
  <c r="F84" i="45"/>
  <c r="E84" i="45"/>
  <c r="F85" i="45"/>
  <c r="F88" i="45"/>
  <c r="D8" i="44"/>
  <c r="E8" i="44"/>
  <c r="D16" i="44"/>
  <c r="E16" i="44"/>
  <c r="D27" i="44"/>
  <c r="E27" i="44"/>
  <c r="D35" i="44"/>
  <c r="E35" i="44"/>
  <c r="D48" i="44"/>
  <c r="E48" i="44"/>
  <c r="D58" i="44"/>
  <c r="E58" i="44"/>
  <c r="D78" i="44"/>
  <c r="E78" i="44"/>
  <c r="D87" i="44"/>
  <c r="E87" i="44"/>
  <c r="D94" i="44"/>
  <c r="E94" i="44"/>
  <c r="D98" i="44"/>
  <c r="E98" i="44"/>
  <c r="D105" i="44"/>
  <c r="E105" i="44"/>
  <c r="D113" i="44"/>
  <c r="E113" i="44"/>
  <c r="E102" i="44"/>
  <c r="D137" i="44"/>
  <c r="E137" i="44"/>
  <c r="E4" i="43"/>
  <c r="E5" i="43"/>
  <c r="E6" i="43"/>
  <c r="E7" i="43"/>
  <c r="E8" i="43"/>
  <c r="E9" i="43"/>
  <c r="E10" i="43"/>
  <c r="E11" i="43"/>
  <c r="E12" i="43"/>
  <c r="E13" i="43"/>
  <c r="E14" i="43"/>
  <c r="E15" i="43"/>
  <c r="E16" i="43"/>
  <c r="E17" i="43"/>
  <c r="E18" i="43"/>
  <c r="E19" i="43"/>
  <c r="E20" i="43"/>
  <c r="E21" i="43"/>
  <c r="E22" i="43"/>
  <c r="E23" i="43"/>
  <c r="E24" i="43"/>
  <c r="E25" i="43"/>
  <c r="E26" i="43"/>
  <c r="E27" i="43"/>
  <c r="E28" i="43"/>
  <c r="E29" i="43"/>
  <c r="E30" i="43"/>
  <c r="E31"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61" i="43"/>
  <c r="E62" i="43"/>
  <c r="E63" i="43"/>
  <c r="E64" i="43"/>
  <c r="E65" i="43"/>
  <c r="E66" i="43"/>
  <c r="E67" i="43"/>
  <c r="E68" i="43"/>
  <c r="E69" i="43"/>
  <c r="E70" i="43"/>
  <c r="E71" i="43"/>
  <c r="E72" i="43"/>
  <c r="E73" i="43"/>
  <c r="E74" i="43"/>
  <c r="E75" i="43"/>
  <c r="E76" i="43"/>
  <c r="E77" i="43"/>
  <c r="E78" i="43"/>
  <c r="E79" i="43"/>
  <c r="E80" i="43"/>
  <c r="E81" i="43"/>
  <c r="E82" i="43"/>
  <c r="E83" i="43"/>
  <c r="E84" i="43"/>
  <c r="E85" i="43"/>
  <c r="E86" i="43"/>
  <c r="E87" i="43"/>
  <c r="E88" i="43"/>
  <c r="E89" i="43"/>
  <c r="E90" i="43"/>
  <c r="E91" i="43"/>
  <c r="E92" i="43"/>
  <c r="E93" i="43"/>
  <c r="E94" i="43"/>
  <c r="E95" i="43"/>
  <c r="E96" i="43"/>
  <c r="E97" i="43"/>
  <c r="E98" i="43"/>
  <c r="E99" i="43"/>
  <c r="E100" i="43"/>
  <c r="E102" i="43"/>
  <c r="E103" i="43"/>
  <c r="E104" i="43"/>
  <c r="E105" i="43"/>
  <c r="E106" i="43"/>
  <c r="E107" i="43"/>
  <c r="E108" i="43"/>
  <c r="E109" i="43"/>
  <c r="E110" i="43"/>
  <c r="E111" i="43"/>
  <c r="E112" i="43"/>
  <c r="E113" i="43"/>
  <c r="E114" i="43"/>
  <c r="E115" i="43"/>
  <c r="E117" i="43"/>
  <c r="E118" i="43"/>
  <c r="E7" i="26"/>
  <c r="Y41" i="28"/>
  <c r="X41" i="28"/>
  <c r="V41" i="28"/>
  <c r="U41" i="28"/>
  <c r="AA41" i="28"/>
  <c r="R41" i="28"/>
  <c r="P41" i="28"/>
  <c r="N41" i="28"/>
  <c r="G42" i="28"/>
  <c r="R37" i="28"/>
  <c r="I39" i="28"/>
  <c r="Y37" i="28"/>
  <c r="H37" i="28"/>
  <c r="AA28" i="28"/>
  <c r="R28" i="28"/>
  <c r="P28" i="28"/>
  <c r="L29" i="28"/>
  <c r="S29" i="28"/>
  <c r="V26" i="28"/>
  <c r="R26" i="28"/>
  <c r="R25" i="28"/>
  <c r="R24" i="28"/>
  <c r="P26" i="28"/>
  <c r="G27" i="28"/>
  <c r="X21" i="28"/>
  <c r="R21" i="28"/>
  <c r="P21" i="28"/>
  <c r="H21" i="28"/>
  <c r="V19" i="28"/>
  <c r="U19" i="28"/>
  <c r="R19" i="28"/>
  <c r="P19" i="28"/>
  <c r="I20" i="28"/>
  <c r="I19" i="28"/>
  <c r="AB17" i="28"/>
  <c r="R17" i="28"/>
  <c r="P17" i="28"/>
  <c r="I15" i="28"/>
  <c r="L15" i="28"/>
  <c r="S15" i="28"/>
  <c r="I13" i="28"/>
  <c r="G13" i="28"/>
  <c r="Y11" i="28"/>
  <c r="R11" i="28"/>
  <c r="Y8" i="28"/>
  <c r="X8" i="28"/>
  <c r="R8" i="28"/>
  <c r="E17" i="24"/>
  <c r="H16" i="24"/>
  <c r="E16" i="24"/>
  <c r="I16" i="24"/>
  <c r="P16" i="24"/>
  <c r="G32" i="24"/>
  <c r="K30" i="23"/>
  <c r="G43" i="25"/>
  <c r="G21" i="24"/>
  <c r="E21" i="24"/>
  <c r="I21" i="24"/>
  <c r="G22" i="24"/>
  <c r="E22" i="24"/>
  <c r="E23" i="24"/>
  <c r="I23" i="24"/>
  <c r="P23" i="24"/>
  <c r="H13" i="24"/>
  <c r="G13" i="24"/>
  <c r="E13" i="24"/>
  <c r="N35" i="25"/>
  <c r="K35" i="25"/>
  <c r="J35" i="25"/>
  <c r="F35" i="25"/>
  <c r="E35" i="25"/>
  <c r="D35" i="25"/>
  <c r="C35" i="25"/>
  <c r="H37" i="25"/>
  <c r="O37" i="25"/>
  <c r="G37" i="25"/>
  <c r="H36" i="25"/>
  <c r="G36" i="25"/>
  <c r="L36" i="25"/>
  <c r="D30" i="25"/>
  <c r="D29" i="25"/>
  <c r="N20" i="25"/>
  <c r="K20" i="25"/>
  <c r="J20" i="25"/>
  <c r="F20" i="25"/>
  <c r="E20" i="25"/>
  <c r="C20" i="25"/>
  <c r="G20" i="25"/>
  <c r="D21" i="25"/>
  <c r="D20" i="25"/>
  <c r="G21" i="25"/>
  <c r="D19" i="25"/>
  <c r="H19" i="25"/>
  <c r="D16" i="25"/>
  <c r="D15" i="25"/>
  <c r="H13" i="25"/>
  <c r="O13" i="25"/>
  <c r="N17" i="25"/>
  <c r="J17" i="25"/>
  <c r="F17" i="25"/>
  <c r="E17" i="25"/>
  <c r="C17" i="25"/>
  <c r="G19" i="25"/>
  <c r="K17" i="25"/>
  <c r="D17" i="25"/>
  <c r="F12" i="29"/>
  <c r="F92" i="23"/>
  <c r="F98" i="23"/>
  <c r="F10" i="25"/>
  <c r="H10" i="25"/>
  <c r="Q14" i="12"/>
  <c r="M14" i="12"/>
  <c r="AB44" i="28"/>
  <c r="AB43" i="28"/>
  <c r="AA44" i="28"/>
  <c r="AA43" i="28"/>
  <c r="L45" i="28"/>
  <c r="L44" i="28"/>
  <c r="L43" i="28"/>
  <c r="K45" i="28"/>
  <c r="Y44" i="28"/>
  <c r="Y43" i="28"/>
  <c r="X44" i="28"/>
  <c r="X43" i="28"/>
  <c r="V44" i="28"/>
  <c r="V43" i="28"/>
  <c r="U44" i="28"/>
  <c r="U43" i="28"/>
  <c r="R44" i="28"/>
  <c r="R43" i="28"/>
  <c r="P44" i="28"/>
  <c r="N44" i="28"/>
  <c r="N43" i="28"/>
  <c r="K44" i="28"/>
  <c r="K43" i="28"/>
  <c r="J44" i="28"/>
  <c r="J43" i="28"/>
  <c r="I44" i="28"/>
  <c r="H44" i="28"/>
  <c r="H43" i="28"/>
  <c r="G44" i="28"/>
  <c r="P43" i="28"/>
  <c r="I43" i="28"/>
  <c r="G43" i="28"/>
  <c r="AA32" i="28"/>
  <c r="AA31" i="28"/>
  <c r="AA30" i="28"/>
  <c r="Y32" i="28"/>
  <c r="Y31" i="28"/>
  <c r="Y30" i="28"/>
  <c r="X32" i="28"/>
  <c r="X31" i="28"/>
  <c r="X30" i="28"/>
  <c r="V32" i="28"/>
  <c r="V31" i="28"/>
  <c r="V30" i="28"/>
  <c r="U32" i="28"/>
  <c r="U31" i="28"/>
  <c r="U30" i="28"/>
  <c r="R32" i="28"/>
  <c r="R31" i="28"/>
  <c r="R30" i="28"/>
  <c r="P32" i="28"/>
  <c r="P31" i="28"/>
  <c r="P30" i="28"/>
  <c r="N32" i="28"/>
  <c r="N31" i="28"/>
  <c r="N30" i="28"/>
  <c r="I32" i="28"/>
  <c r="I31" i="28"/>
  <c r="I30" i="28"/>
  <c r="H32" i="28"/>
  <c r="G32" i="28"/>
  <c r="Y28" i="28"/>
  <c r="X28" i="28"/>
  <c r="N28" i="28"/>
  <c r="Y26" i="28"/>
  <c r="X26" i="28"/>
  <c r="N26" i="28"/>
  <c r="N21" i="28"/>
  <c r="Y19" i="28"/>
  <c r="X19" i="28"/>
  <c r="N19" i="28"/>
  <c r="Y17" i="28"/>
  <c r="X17" i="28"/>
  <c r="N17" i="28"/>
  <c r="D22" i="25"/>
  <c r="H22" i="25"/>
  <c r="G22" i="25"/>
  <c r="L22" i="25"/>
  <c r="E16" i="36"/>
  <c r="E11" i="36"/>
  <c r="E6" i="36"/>
  <c r="C3" i="38"/>
  <c r="H15" i="31"/>
  <c r="E29" i="24"/>
  <c r="E27" i="24"/>
  <c r="E26" i="24"/>
  <c r="I23" i="23"/>
  <c r="G7" i="26"/>
  <c r="G8" i="26"/>
  <c r="H7" i="26"/>
  <c r="H33" i="25"/>
  <c r="O33" i="25"/>
  <c r="N29" i="25"/>
  <c r="K29" i="25"/>
  <c r="J29" i="25"/>
  <c r="F29" i="25"/>
  <c r="E29" i="25"/>
  <c r="C29" i="25"/>
  <c r="I34" i="24"/>
  <c r="P34" i="24"/>
  <c r="F32" i="24"/>
  <c r="J30" i="23"/>
  <c r="E35" i="24"/>
  <c r="I35" i="24"/>
  <c r="P35" i="24"/>
  <c r="G42" i="25"/>
  <c r="D36" i="24"/>
  <c r="H33" i="23"/>
  <c r="H51" i="23"/>
  <c r="O45" i="25"/>
  <c r="H28" i="25"/>
  <c r="O28" i="25"/>
  <c r="G28" i="25"/>
  <c r="E12" i="24"/>
  <c r="N15" i="25"/>
  <c r="N14" i="25"/>
  <c r="K15" i="25"/>
  <c r="J15" i="25"/>
  <c r="F15" i="25"/>
  <c r="E15" i="25"/>
  <c r="E14" i="25"/>
  <c r="E11" i="25"/>
  <c r="E8" i="25"/>
  <c r="E7" i="25"/>
  <c r="C15" i="25"/>
  <c r="H18" i="25"/>
  <c r="L19" i="24"/>
  <c r="L18" i="24"/>
  <c r="F18" i="24"/>
  <c r="D12" i="3"/>
  <c r="C17" i="3"/>
  <c r="C19" i="3"/>
  <c r="E5" i="10"/>
  <c r="A9" i="28"/>
  <c r="A10" i="28"/>
  <c r="A11" i="28"/>
  <c r="O18" i="24"/>
  <c r="O8" i="24"/>
  <c r="O32" i="24"/>
  <c r="L21" i="23"/>
  <c r="L28" i="23"/>
  <c r="F19" i="10"/>
  <c r="H35" i="24"/>
  <c r="M35" i="24"/>
  <c r="A8" i="26"/>
  <c r="A9" i="26"/>
  <c r="I8" i="26"/>
  <c r="N8" i="26"/>
  <c r="H8" i="26"/>
  <c r="I9" i="26"/>
  <c r="N9" i="26"/>
  <c r="H9" i="26"/>
  <c r="J9" i="26"/>
  <c r="G9" i="24"/>
  <c r="G14" i="24"/>
  <c r="G12" i="24"/>
  <c r="E15" i="24"/>
  <c r="I15" i="24"/>
  <c r="E14" i="24"/>
  <c r="E11" i="24"/>
  <c r="I11" i="24"/>
  <c r="P11" i="24"/>
  <c r="E10" i="24"/>
  <c r="I10" i="24"/>
  <c r="E9" i="24"/>
  <c r="H34" i="25"/>
  <c r="O34" i="25"/>
  <c r="G33" i="25"/>
  <c r="G26" i="25"/>
  <c r="G25" i="25"/>
  <c r="H30" i="25"/>
  <c r="H29" i="25"/>
  <c r="O29" i="25"/>
  <c r="H32" i="25"/>
  <c r="G30" i="25"/>
  <c r="G29" i="25"/>
  <c r="G32" i="25"/>
  <c r="G13" i="25"/>
  <c r="G12" i="25"/>
  <c r="G11" i="25"/>
  <c r="H12" i="25"/>
  <c r="O12" i="25"/>
  <c r="D7" i="36"/>
  <c r="F7" i="36"/>
  <c r="H13" i="31"/>
  <c r="D4" i="36"/>
  <c r="K17" i="38"/>
  <c r="J17" i="38"/>
  <c r="C31" i="29"/>
  <c r="C14" i="14"/>
  <c r="L27" i="14"/>
  <c r="L28" i="14"/>
  <c r="L29" i="14"/>
  <c r="I27" i="14"/>
  <c r="M27" i="14"/>
  <c r="I9" i="14"/>
  <c r="I10" i="14"/>
  <c r="M10" i="14"/>
  <c r="I11" i="14"/>
  <c r="M11" i="14"/>
  <c r="I12" i="14"/>
  <c r="M12" i="14"/>
  <c r="I13" i="14"/>
  <c r="M13" i="14"/>
  <c r="K14" i="14"/>
  <c r="J14" i="14"/>
  <c r="H14" i="14"/>
  <c r="G14" i="14"/>
  <c r="F14" i="14"/>
  <c r="E14" i="14"/>
  <c r="D14" i="14"/>
  <c r="A10" i="14"/>
  <c r="A11" i="14"/>
  <c r="A12" i="14"/>
  <c r="A13" i="14"/>
  <c r="A14" i="14"/>
  <c r="F26" i="12"/>
  <c r="E9" i="12"/>
  <c r="L27" i="12"/>
  <c r="L29" i="12"/>
  <c r="L30" i="12"/>
  <c r="E26" i="12"/>
  <c r="E31" i="12"/>
  <c r="K27" i="12"/>
  <c r="K29" i="12"/>
  <c r="K30" i="12"/>
  <c r="M30" i="12"/>
  <c r="J30" i="12"/>
  <c r="G30" i="12"/>
  <c r="G29" i="12"/>
  <c r="G27" i="12"/>
  <c r="L25" i="12"/>
  <c r="K25" i="12"/>
  <c r="G25" i="12"/>
  <c r="L24" i="12"/>
  <c r="K24" i="12"/>
  <c r="G24" i="12"/>
  <c r="L23" i="12"/>
  <c r="K23" i="12"/>
  <c r="G23" i="12"/>
  <c r="L22" i="12"/>
  <c r="K22" i="12"/>
  <c r="G22" i="12"/>
  <c r="L21" i="12"/>
  <c r="K21" i="12"/>
  <c r="G21" i="12"/>
  <c r="T14" i="12"/>
  <c r="E10" i="12"/>
  <c r="E12" i="12"/>
  <c r="E13" i="12"/>
  <c r="S14" i="12"/>
  <c r="F17" i="29"/>
  <c r="F14" i="29"/>
  <c r="F15" i="29"/>
  <c r="F16" i="29"/>
  <c r="C5" i="29"/>
  <c r="C10" i="29"/>
  <c r="C18" i="29"/>
  <c r="F8" i="29"/>
  <c r="F7" i="29"/>
  <c r="F6" i="29"/>
  <c r="F16" i="36"/>
  <c r="K12" i="31"/>
  <c r="E21" i="36"/>
  <c r="D9" i="36"/>
  <c r="F9" i="36"/>
  <c r="D14" i="36"/>
  <c r="E19" i="36"/>
  <c r="D20" i="36"/>
  <c r="F20" i="36"/>
  <c r="E20" i="36"/>
  <c r="D17" i="36"/>
  <c r="F17" i="36"/>
  <c r="K13" i="31"/>
  <c r="D12" i="36"/>
  <c r="F12" i="36"/>
  <c r="I13" i="31"/>
  <c r="E22" i="36"/>
  <c r="C9" i="38"/>
  <c r="C8" i="38"/>
  <c r="C7" i="38"/>
  <c r="C6" i="38"/>
  <c r="C5" i="38"/>
  <c r="J15" i="31"/>
  <c r="C15" i="38"/>
  <c r="C14" i="38"/>
  <c r="C13" i="38"/>
  <c r="L17" i="38"/>
  <c r="I17" i="38"/>
  <c r="G17" i="38"/>
  <c r="F17" i="38"/>
  <c r="E17" i="38"/>
  <c r="C4" i="38"/>
  <c r="C11" i="38"/>
  <c r="C12" i="38"/>
  <c r="I14" i="31"/>
  <c r="H14" i="31"/>
  <c r="J10" i="31"/>
  <c r="H10" i="31"/>
  <c r="H9" i="31"/>
  <c r="H8" i="31"/>
  <c r="H6" i="31"/>
  <c r="J7" i="31"/>
  <c r="C11" i="37"/>
  <c r="F4" i="36"/>
  <c r="F5" i="36"/>
  <c r="E8" i="36"/>
  <c r="F10" i="36"/>
  <c r="F14" i="36"/>
  <c r="F15" i="36"/>
  <c r="E18" i="36"/>
  <c r="C9" i="35"/>
  <c r="C7" i="34"/>
  <c r="I9" i="31"/>
  <c r="C8" i="32"/>
  <c r="I7" i="31"/>
  <c r="L7" i="31"/>
  <c r="K7" i="31"/>
  <c r="C14" i="32"/>
  <c r="A7" i="31"/>
  <c r="A8" i="31"/>
  <c r="A9" i="31"/>
  <c r="A10" i="31"/>
  <c r="A11" i="31"/>
  <c r="A14" i="31"/>
  <c r="A15" i="31"/>
  <c r="E5" i="29"/>
  <c r="D15" i="3"/>
  <c r="B17" i="3"/>
  <c r="B19" i="3"/>
  <c r="D18" i="3"/>
  <c r="D4" i="3"/>
  <c r="D5" i="3"/>
  <c r="D6" i="3"/>
  <c r="D7" i="3"/>
  <c r="D8" i="3"/>
  <c r="D9" i="3"/>
  <c r="D10" i="3"/>
  <c r="D11" i="3"/>
  <c r="D13" i="3"/>
  <c r="D14" i="3"/>
  <c r="D16" i="3"/>
  <c r="A28" i="14"/>
  <c r="A29" i="14"/>
  <c r="I28" i="14"/>
  <c r="N28" i="14"/>
  <c r="M28" i="14"/>
  <c r="C29" i="14"/>
  <c r="D29" i="14"/>
  <c r="E29" i="14"/>
  <c r="F29" i="14"/>
  <c r="G29" i="14"/>
  <c r="H29" i="14"/>
  <c r="I29" i="14"/>
  <c r="J29" i="14"/>
  <c r="K29" i="14"/>
  <c r="D5" i="10"/>
  <c r="F6" i="10"/>
  <c r="F7" i="10"/>
  <c r="F8" i="10"/>
  <c r="F9" i="10"/>
  <c r="E11" i="10"/>
  <c r="F12" i="10"/>
  <c r="F13" i="10"/>
  <c r="D16" i="10"/>
  <c r="E16" i="10"/>
  <c r="F17" i="10"/>
  <c r="F18" i="10"/>
  <c r="F21" i="10"/>
  <c r="I25" i="24"/>
  <c r="P25" i="24"/>
  <c r="D8" i="24"/>
  <c r="H14" i="23"/>
  <c r="F8" i="24"/>
  <c r="J14" i="23"/>
  <c r="D10" i="26"/>
  <c r="H15" i="23"/>
  <c r="F10" i="26"/>
  <c r="J15" i="23"/>
  <c r="C11" i="25"/>
  <c r="C8" i="25"/>
  <c r="D32" i="24"/>
  <c r="H30" i="23"/>
  <c r="C39" i="25"/>
  <c r="C38" i="25"/>
  <c r="H31" i="23"/>
  <c r="H45" i="23"/>
  <c r="E39" i="25"/>
  <c r="E38" i="25"/>
  <c r="J31" i="23"/>
  <c r="F11" i="25"/>
  <c r="J34" i="23"/>
  <c r="J55" i="23"/>
  <c r="G40" i="25"/>
  <c r="G39" i="25"/>
  <c r="G38" i="25"/>
  <c r="H40" i="25"/>
  <c r="O40" i="25"/>
  <c r="N39" i="25"/>
  <c r="N38" i="25"/>
  <c r="K39" i="25"/>
  <c r="K38" i="25"/>
  <c r="J39" i="25"/>
  <c r="J38" i="25"/>
  <c r="F39" i="25"/>
  <c r="F38" i="25"/>
  <c r="K31" i="23"/>
  <c r="K45" i="23"/>
  <c r="D39" i="25"/>
  <c r="D38" i="25"/>
  <c r="I31" i="23"/>
  <c r="O36" i="24"/>
  <c r="L36" i="24"/>
  <c r="K36" i="24"/>
  <c r="J36" i="24"/>
  <c r="H34" i="24"/>
  <c r="M34" i="24"/>
  <c r="L32" i="24"/>
  <c r="K32" i="24"/>
  <c r="J32" i="24"/>
  <c r="H23" i="25"/>
  <c r="O23" i="25"/>
  <c r="G16" i="25"/>
  <c r="G23" i="25"/>
  <c r="N11" i="25"/>
  <c r="K11" i="25"/>
  <c r="K8" i="25"/>
  <c r="J11" i="25"/>
  <c r="J8" i="25"/>
  <c r="F26" i="24"/>
  <c r="J23" i="23"/>
  <c r="G26" i="24"/>
  <c r="K23" i="23"/>
  <c r="H23" i="23"/>
  <c r="O26" i="24"/>
  <c r="M26" i="24"/>
  <c r="L26" i="24"/>
  <c r="K26" i="24"/>
  <c r="J26" i="24"/>
  <c r="H29" i="24"/>
  <c r="H27" i="24"/>
  <c r="H26" i="24"/>
  <c r="I39" i="25"/>
  <c r="N8" i="25"/>
  <c r="G9" i="25"/>
  <c r="H9" i="25"/>
  <c r="O9" i="25"/>
  <c r="G10" i="25"/>
  <c r="K18" i="24"/>
  <c r="J18" i="24"/>
  <c r="L8" i="24"/>
  <c r="J8" i="24"/>
  <c r="H25" i="24"/>
  <c r="I24" i="24"/>
  <c r="P24" i="24"/>
  <c r="H24" i="24"/>
  <c r="H23" i="24"/>
  <c r="H21" i="24"/>
  <c r="I20" i="24"/>
  <c r="P20" i="24"/>
  <c r="H20" i="24"/>
  <c r="H19" i="24"/>
  <c r="H17" i="24"/>
  <c r="H15" i="24"/>
  <c r="H14" i="24"/>
  <c r="H11" i="24"/>
  <c r="H10" i="24"/>
  <c r="H9" i="24"/>
  <c r="M28" i="23"/>
  <c r="M21" i="23"/>
  <c r="G7" i="23"/>
  <c r="G8" i="23"/>
  <c r="G9" i="23"/>
  <c r="G10" i="23"/>
  <c r="G11" i="23"/>
  <c r="G12" i="23"/>
  <c r="G13" i="23"/>
  <c r="G14" i="23"/>
  <c r="G15" i="23"/>
  <c r="G16" i="23"/>
  <c r="G17" i="23"/>
  <c r="G18" i="23"/>
  <c r="G19" i="23"/>
  <c r="G20" i="23"/>
  <c r="G21" i="23"/>
  <c r="G22" i="23"/>
  <c r="G23" i="23"/>
  <c r="G24" i="23"/>
  <c r="G25" i="23"/>
  <c r="G26" i="23"/>
  <c r="G27" i="23"/>
  <c r="G28" i="23"/>
  <c r="G29" i="23"/>
  <c r="G30" i="23"/>
  <c r="G31" i="23"/>
  <c r="G32" i="23"/>
  <c r="G33" i="23"/>
  <c r="G34" i="23"/>
  <c r="G36" i="23"/>
  <c r="G37" i="23"/>
  <c r="G38" i="23"/>
  <c r="G39" i="23"/>
  <c r="G40" i="23"/>
  <c r="G41" i="23"/>
  <c r="G42" i="23"/>
  <c r="G43" i="23"/>
  <c r="G44" i="23"/>
  <c r="G45" i="23"/>
  <c r="G46" i="23"/>
  <c r="G47" i="23"/>
  <c r="G48" i="23"/>
  <c r="G49" i="23"/>
  <c r="G50" i="23"/>
  <c r="G51" i="23"/>
  <c r="G52" i="23"/>
  <c r="G53" i="23"/>
  <c r="G54" i="23"/>
  <c r="G55" i="23"/>
  <c r="M10" i="26"/>
  <c r="L10" i="26"/>
  <c r="I10" i="31"/>
  <c r="C16" i="35"/>
  <c r="C15" i="32"/>
  <c r="F6" i="36"/>
  <c r="H12" i="31"/>
  <c r="G28" i="12"/>
  <c r="K28" i="12"/>
  <c r="H12" i="24"/>
  <c r="K8" i="24"/>
  <c r="K7" i="24"/>
  <c r="H33" i="24"/>
  <c r="J16" i="23"/>
  <c r="H22" i="24"/>
  <c r="E36" i="24"/>
  <c r="H26" i="25"/>
  <c r="H25" i="25"/>
  <c r="G18" i="25"/>
  <c r="G17" i="25"/>
  <c r="L9" i="25"/>
  <c r="H39" i="25"/>
  <c r="H38" i="25"/>
  <c r="L38" i="25"/>
  <c r="G34" i="25"/>
  <c r="L40" i="25"/>
  <c r="L39" i="25"/>
  <c r="O18" i="25"/>
  <c r="M27" i="12"/>
  <c r="M22" i="12"/>
  <c r="E13" i="36"/>
  <c r="F11" i="36"/>
  <c r="I12" i="31"/>
  <c r="C9" i="34"/>
  <c r="D11" i="10"/>
  <c r="F11" i="10"/>
  <c r="O30" i="25"/>
  <c r="D11" i="25"/>
  <c r="D8" i="25"/>
  <c r="J46" i="23"/>
  <c r="F7" i="24"/>
  <c r="I17" i="24"/>
  <c r="P17" i="24"/>
  <c r="F20" i="10"/>
  <c r="J32" i="28"/>
  <c r="F8" i="36"/>
  <c r="H31" i="12"/>
  <c r="J29" i="12"/>
  <c r="J28" i="12"/>
  <c r="I31" i="12"/>
  <c r="I14" i="28"/>
  <c r="D5" i="29"/>
  <c r="D10" i="29"/>
  <c r="G22" i="28"/>
  <c r="G21" i="28"/>
  <c r="E50" i="46"/>
  <c r="F50" i="46"/>
  <c r="E64" i="46"/>
  <c r="E54" i="46"/>
  <c r="E86" i="47"/>
  <c r="F50" i="47"/>
  <c r="F12" i="47"/>
  <c r="U26" i="28"/>
  <c r="AA26" i="28"/>
  <c r="X11" i="28"/>
  <c r="U11" i="28"/>
  <c r="A12" i="28"/>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44" i="28"/>
  <c r="A45" i="28"/>
  <c r="A46" i="28"/>
  <c r="N11" i="28"/>
  <c r="N37" i="28"/>
  <c r="P11" i="28"/>
  <c r="J19" i="28"/>
  <c r="U28" i="28"/>
  <c r="G38" i="28"/>
  <c r="AB41" i="28"/>
  <c r="Y21" i="28"/>
  <c r="AB21" i="28"/>
  <c r="I22" i="28"/>
  <c r="I21" i="28"/>
  <c r="F87" i="23"/>
  <c r="V21" i="28"/>
  <c r="L13" i="28"/>
  <c r="S13" i="28"/>
  <c r="H28" i="28"/>
  <c r="AB19" i="28"/>
  <c r="V17" i="28"/>
  <c r="J17" i="28"/>
  <c r="AB26" i="28"/>
  <c r="G29" i="28"/>
  <c r="G28" i="28"/>
  <c r="H8" i="28"/>
  <c r="I18" i="28"/>
  <c r="I17" i="28"/>
  <c r="L18" i="28"/>
  <c r="S18" i="28"/>
  <c r="J8" i="28"/>
  <c r="P37" i="28"/>
  <c r="G40" i="28"/>
  <c r="G18" i="28"/>
  <c r="H17" i="28"/>
  <c r="E10" i="29"/>
  <c r="F11" i="29"/>
  <c r="J26" i="28"/>
  <c r="I27" i="28"/>
  <c r="G39" i="28"/>
  <c r="L39" i="28"/>
  <c r="I10" i="23"/>
  <c r="F66" i="23"/>
  <c r="G14" i="28"/>
  <c r="L14" i="28"/>
  <c r="S14" i="28"/>
  <c r="I9" i="28"/>
  <c r="K10" i="23"/>
  <c r="F73" i="23"/>
  <c r="U37" i="28"/>
  <c r="V11" i="28"/>
  <c r="H41" i="28"/>
  <c r="L42" i="28"/>
  <c r="S42" i="28"/>
  <c r="I40" i="28"/>
  <c r="AB37" i="28"/>
  <c r="V37" i="28"/>
  <c r="L27" i="28"/>
  <c r="S27" i="28"/>
  <c r="U8" i="28"/>
  <c r="I12" i="28"/>
  <c r="J11" i="28"/>
  <c r="J7" i="28"/>
  <c r="G15" i="28"/>
  <c r="H19" i="28"/>
  <c r="AA19" i="28"/>
  <c r="AB8" i="28"/>
  <c r="V8" i="28"/>
  <c r="U17" i="28"/>
  <c r="AA17" i="28"/>
  <c r="L12" i="28"/>
  <c r="G12" i="28"/>
  <c r="V28" i="28"/>
  <c r="AB28" i="28"/>
  <c r="I42" i="28"/>
  <c r="I41" i="28"/>
  <c r="J41" i="28"/>
  <c r="AA8" i="28"/>
  <c r="H11" i="28"/>
  <c r="J21" i="28"/>
  <c r="L22" i="28"/>
  <c r="S22" i="28"/>
  <c r="J28" i="28"/>
  <c r="I29" i="28"/>
  <c r="I28" i="28"/>
  <c r="AA37" i="28"/>
  <c r="X37" i="28"/>
  <c r="G10" i="28"/>
  <c r="L10" i="28"/>
  <c r="S10" i="28"/>
  <c r="I38" i="28"/>
  <c r="L38" i="28"/>
  <c r="S38" i="28"/>
  <c r="J37" i="28"/>
  <c r="G41" i="28"/>
  <c r="AB11" i="28"/>
  <c r="L20" i="28"/>
  <c r="S20" i="28"/>
  <c r="G20" i="28"/>
  <c r="G19" i="28"/>
  <c r="L9" i="28"/>
  <c r="S9" i="28"/>
  <c r="G9" i="28"/>
  <c r="P7" i="28"/>
  <c r="AB36" i="28"/>
  <c r="AB35" i="28"/>
  <c r="AB34" i="28"/>
  <c r="I8" i="28"/>
  <c r="V25" i="28"/>
  <c r="V24" i="28"/>
  <c r="V23" i="28"/>
  <c r="X36" i="28"/>
  <c r="X35" i="28"/>
  <c r="X34" i="28"/>
  <c r="E18" i="29"/>
  <c r="D18" i="29"/>
  <c r="K10" i="28"/>
  <c r="O10" i="28"/>
  <c r="P36" i="28"/>
  <c r="P35" i="28"/>
  <c r="P34" i="28"/>
  <c r="P16" i="28"/>
  <c r="P6" i="28"/>
  <c r="P15" i="24"/>
  <c r="M15" i="24"/>
  <c r="G8" i="24"/>
  <c r="K14" i="23"/>
  <c r="L7" i="24"/>
  <c r="L39" i="24"/>
  <c r="J7" i="24"/>
  <c r="O7" i="24"/>
  <c r="I12" i="24"/>
  <c r="P12" i="24"/>
  <c r="I13" i="24"/>
  <c r="P13" i="24"/>
  <c r="D10" i="10"/>
  <c r="M9" i="14"/>
  <c r="M14" i="14"/>
  <c r="I14" i="14"/>
  <c r="N27" i="14"/>
  <c r="N29" i="14"/>
  <c r="K39" i="28"/>
  <c r="O39" i="28"/>
  <c r="N36" i="28"/>
  <c r="N35" i="28"/>
  <c r="N34" i="28"/>
  <c r="AA25" i="28"/>
  <c r="AA24" i="28"/>
  <c r="AA23" i="28"/>
  <c r="AA36" i="28"/>
  <c r="AA35" i="28"/>
  <c r="AA34" i="28"/>
  <c r="Y36" i="28"/>
  <c r="Y35" i="28"/>
  <c r="Y34" i="28"/>
  <c r="J31" i="12"/>
  <c r="M24" i="12"/>
  <c r="M21" i="12"/>
  <c r="M25" i="12"/>
  <c r="M23" i="12"/>
  <c r="G26" i="12"/>
  <c r="K26" i="12"/>
  <c r="K31" i="12"/>
  <c r="E14" i="12"/>
  <c r="Y14" i="12"/>
  <c r="L28" i="12"/>
  <c r="M28" i="12"/>
  <c r="M29" i="12"/>
  <c r="E10" i="10"/>
  <c r="F5" i="10"/>
  <c r="H20" i="23"/>
  <c r="R23" i="28"/>
  <c r="K12" i="28"/>
  <c r="O12" i="28"/>
  <c r="U36" i="28"/>
  <c r="U35" i="28"/>
  <c r="U34" i="28"/>
  <c r="H11" i="23"/>
  <c r="J31" i="28"/>
  <c r="J30" i="28"/>
  <c r="K20" i="23"/>
  <c r="K19" i="23"/>
  <c r="I37" i="28"/>
  <c r="I36" i="28"/>
  <c r="I35" i="28"/>
  <c r="I34" i="28"/>
  <c r="J27" i="23"/>
  <c r="J11" i="23"/>
  <c r="I26" i="28"/>
  <c r="I25" i="28"/>
  <c r="I24" i="28"/>
  <c r="J20" i="23"/>
  <c r="J39" i="23"/>
  <c r="H16" i="28"/>
  <c r="L8" i="28"/>
  <c r="S8" i="28"/>
  <c r="H31" i="28"/>
  <c r="H30" i="28"/>
  <c r="I20" i="23"/>
  <c r="L23" i="25"/>
  <c r="O32" i="25"/>
  <c r="H31" i="25"/>
  <c r="G31" i="25"/>
  <c r="L19" i="28"/>
  <c r="S19" i="28"/>
  <c r="U25" i="28"/>
  <c r="U24" i="28"/>
  <c r="U23" i="28"/>
  <c r="K14" i="28"/>
  <c r="O14" i="28"/>
  <c r="J36" i="28"/>
  <c r="J35" i="28"/>
  <c r="J34" i="28"/>
  <c r="K27" i="23"/>
  <c r="K26" i="23"/>
  <c r="L28" i="28"/>
  <c r="S28" i="28"/>
  <c r="K9" i="28"/>
  <c r="O9" i="28"/>
  <c r="Y16" i="28"/>
  <c r="J25" i="28"/>
  <c r="J24" i="28"/>
  <c r="J23" i="28"/>
  <c r="K38" i="28"/>
  <c r="O38" i="28"/>
  <c r="I33" i="23"/>
  <c r="I51" i="23"/>
  <c r="K18" i="28"/>
  <c r="O18" i="28"/>
  <c r="I11" i="28"/>
  <c r="I7" i="28"/>
  <c r="AB16" i="28"/>
  <c r="V16" i="28"/>
  <c r="G37" i="28"/>
  <c r="G36" i="28"/>
  <c r="G35" i="28"/>
  <c r="G34" i="28"/>
  <c r="H27" i="23"/>
  <c r="H26" i="23"/>
  <c r="L41" i="28"/>
  <c r="S41" i="28"/>
  <c r="K15" i="28"/>
  <c r="O15" i="28"/>
  <c r="K40" i="28"/>
  <c r="O40" i="28"/>
  <c r="X7" i="28"/>
  <c r="S45" i="28"/>
  <c r="S44" i="28"/>
  <c r="S43" i="28"/>
  <c r="N16" i="28"/>
  <c r="O45" i="28"/>
  <c r="O44" i="28"/>
  <c r="O43" i="28"/>
  <c r="V36" i="28"/>
  <c r="V35" i="28"/>
  <c r="V34" i="28"/>
  <c r="AB25" i="28"/>
  <c r="AB24" i="28"/>
  <c r="AB23" i="28"/>
  <c r="X25" i="28"/>
  <c r="X24" i="28"/>
  <c r="X23" i="28"/>
  <c r="X16" i="28"/>
  <c r="V7" i="28"/>
  <c r="AB7" i="28"/>
  <c r="Y7" i="28"/>
  <c r="U7" i="28"/>
  <c r="R36" i="28"/>
  <c r="R35" i="28"/>
  <c r="R34" i="28"/>
  <c r="R7" i="28"/>
  <c r="N25" i="28"/>
  <c r="N24" i="28"/>
  <c r="N23" i="28"/>
  <c r="N7" i="28"/>
  <c r="H10" i="23"/>
  <c r="G11" i="28"/>
  <c r="H7" i="28"/>
  <c r="L32" i="28"/>
  <c r="L31" i="28"/>
  <c r="L30" i="28"/>
  <c r="K29" i="28"/>
  <c r="O29" i="28"/>
  <c r="K21" i="28"/>
  <c r="L21" i="28"/>
  <c r="S21" i="28"/>
  <c r="J16" i="28"/>
  <c r="K53" i="23"/>
  <c r="K20" i="28"/>
  <c r="O20" i="28"/>
  <c r="K19" i="28"/>
  <c r="L17" i="28"/>
  <c r="S17" i="28"/>
  <c r="I16" i="28"/>
  <c r="K13" i="28"/>
  <c r="K41" i="28"/>
  <c r="O33" i="28"/>
  <c r="K22" i="28"/>
  <c r="O22" i="28"/>
  <c r="I9" i="23"/>
  <c r="G17" i="28"/>
  <c r="K17" i="28"/>
  <c r="G8" i="28"/>
  <c r="K8" i="28"/>
  <c r="D19" i="3"/>
  <c r="O39" i="25"/>
  <c r="O38" i="25"/>
  <c r="K24" i="25"/>
  <c r="E24" i="25"/>
  <c r="J24" i="23"/>
  <c r="J44" i="23"/>
  <c r="N24" i="25"/>
  <c r="H35" i="25"/>
  <c r="O35" i="25"/>
  <c r="C41" i="25"/>
  <c r="H34" i="23"/>
  <c r="H55" i="23"/>
  <c r="L28" i="25"/>
  <c r="F24" i="25"/>
  <c r="K24" i="23"/>
  <c r="L37" i="25"/>
  <c r="D43" i="25"/>
  <c r="H43" i="25"/>
  <c r="O43" i="25"/>
  <c r="C24" i="25"/>
  <c r="N7" i="25"/>
  <c r="H16" i="25"/>
  <c r="O16" i="25"/>
  <c r="K14" i="25"/>
  <c r="J24" i="25"/>
  <c r="H20" i="25"/>
  <c r="O20" i="25"/>
  <c r="O39" i="24"/>
  <c r="I14" i="24"/>
  <c r="P14" i="24"/>
  <c r="H32" i="24"/>
  <c r="M12" i="24"/>
  <c r="M23" i="24"/>
  <c r="I33" i="24"/>
  <c r="P33" i="24"/>
  <c r="M20" i="24"/>
  <c r="G18" i="24"/>
  <c r="L13" i="25"/>
  <c r="L11" i="25"/>
  <c r="H42" i="25"/>
  <c r="O42" i="25"/>
  <c r="G15" i="25"/>
  <c r="J14" i="25"/>
  <c r="J7" i="25"/>
  <c r="H41" i="23"/>
  <c r="L30" i="25"/>
  <c r="L29" i="25"/>
  <c r="L18" i="25"/>
  <c r="D14" i="25"/>
  <c r="C14" i="25"/>
  <c r="C7" i="25"/>
  <c r="H17" i="23"/>
  <c r="H21" i="25"/>
  <c r="I29" i="24"/>
  <c r="J39" i="24"/>
  <c r="J22" i="23"/>
  <c r="M17" i="24"/>
  <c r="L23" i="23"/>
  <c r="M25" i="24"/>
  <c r="K29" i="23"/>
  <c r="D86" i="47"/>
  <c r="F27" i="47"/>
  <c r="D48" i="47"/>
  <c r="E48" i="47"/>
  <c r="F18" i="46"/>
  <c r="F8" i="46"/>
  <c r="F7" i="46"/>
  <c r="D87" i="47"/>
  <c r="D89" i="47"/>
  <c r="D86" i="45"/>
  <c r="F86" i="45"/>
  <c r="D64" i="46"/>
  <c r="F64" i="46"/>
  <c r="E86" i="45"/>
  <c r="F64" i="45"/>
  <c r="D59" i="46"/>
  <c r="F59" i="46"/>
  <c r="F50" i="45"/>
  <c r="E87" i="45"/>
  <c r="E89" i="45"/>
  <c r="F89" i="45"/>
  <c r="F27" i="45"/>
  <c r="F24" i="46"/>
  <c r="D48" i="45"/>
  <c r="F48" i="45"/>
  <c r="E93" i="44"/>
  <c r="E141" i="44"/>
  <c r="E7" i="44"/>
  <c r="D102" i="44"/>
  <c r="D93" i="44"/>
  <c r="D47" i="44"/>
  <c r="D7" i="44"/>
  <c r="J8" i="26"/>
  <c r="G10" i="26"/>
  <c r="K15" i="23"/>
  <c r="H10" i="26"/>
  <c r="I7" i="26"/>
  <c r="N7" i="26"/>
  <c r="N10" i="26"/>
  <c r="J7" i="26"/>
  <c r="J10" i="26"/>
  <c r="I10" i="26"/>
  <c r="E10" i="26"/>
  <c r="I15" i="23"/>
  <c r="L32" i="25"/>
  <c r="D24" i="25"/>
  <c r="I24" i="23"/>
  <c r="I22" i="23"/>
  <c r="L33" i="25"/>
  <c r="L34" i="25"/>
  <c r="O31" i="25"/>
  <c r="L35" i="25"/>
  <c r="G35" i="25"/>
  <c r="O36" i="25"/>
  <c r="H24" i="23"/>
  <c r="H22" i="23"/>
  <c r="O26" i="25"/>
  <c r="O25" i="25"/>
  <c r="K55" i="23"/>
  <c r="O19" i="25"/>
  <c r="H17" i="25"/>
  <c r="O17" i="25"/>
  <c r="L19" i="25"/>
  <c r="L17" i="25"/>
  <c r="D7" i="25"/>
  <c r="I17" i="23"/>
  <c r="I43" i="23"/>
  <c r="G8" i="25"/>
  <c r="K7" i="25"/>
  <c r="H11" i="25"/>
  <c r="O11" i="25"/>
  <c r="L10" i="25"/>
  <c r="O10" i="25"/>
  <c r="L8" i="25"/>
  <c r="F8" i="25"/>
  <c r="F14" i="25"/>
  <c r="F7" i="25"/>
  <c r="K17" i="23"/>
  <c r="I22" i="24"/>
  <c r="P22" i="24"/>
  <c r="L15" i="23"/>
  <c r="J13" i="23"/>
  <c r="J50" i="23"/>
  <c r="L14" i="23"/>
  <c r="I9" i="24"/>
  <c r="P9" i="24"/>
  <c r="M11" i="24"/>
  <c r="M16" i="24"/>
  <c r="K28" i="28"/>
  <c r="G26" i="28"/>
  <c r="K27" i="28"/>
  <c r="O27" i="28"/>
  <c r="S12" i="28"/>
  <c r="L11" i="28"/>
  <c r="S11" i="28"/>
  <c r="I53" i="23"/>
  <c r="M31" i="23"/>
  <c r="M45" i="23"/>
  <c r="I45" i="23"/>
  <c r="E47" i="44"/>
  <c r="E91" i="44"/>
  <c r="K42" i="28"/>
  <c r="O42" i="28"/>
  <c r="L37" i="28"/>
  <c r="M10" i="23"/>
  <c r="D92" i="45"/>
  <c r="M8" i="31"/>
  <c r="M6" i="31"/>
  <c r="H26" i="28"/>
  <c r="S39" i="28"/>
  <c r="H8" i="24"/>
  <c r="F10" i="10"/>
  <c r="K39" i="24"/>
  <c r="M24" i="24"/>
  <c r="H18" i="24"/>
  <c r="K32" i="28"/>
  <c r="G31" i="28"/>
  <c r="G30" i="28"/>
  <c r="P21" i="24"/>
  <c r="M21" i="24"/>
  <c r="D17" i="3"/>
  <c r="K9" i="23"/>
  <c r="F86" i="47"/>
  <c r="AA11" i="28"/>
  <c r="AA7" i="28"/>
  <c r="J10" i="23"/>
  <c r="F48" i="47"/>
  <c r="G14" i="25"/>
  <c r="G7" i="25"/>
  <c r="K16" i="23"/>
  <c r="G7" i="24"/>
  <c r="J29" i="23"/>
  <c r="L31" i="23"/>
  <c r="L45" i="23"/>
  <c r="J45" i="23"/>
  <c r="H29" i="23"/>
  <c r="L30" i="23"/>
  <c r="M10" i="24"/>
  <c r="P10" i="24"/>
  <c r="Y25" i="28"/>
  <c r="Y24" i="28"/>
  <c r="Y23" i="28"/>
  <c r="M23" i="23"/>
  <c r="O22" i="25"/>
  <c r="E46" i="25"/>
  <c r="J17" i="23"/>
  <c r="L26" i="12"/>
  <c r="F31" i="12"/>
  <c r="G31" i="12"/>
  <c r="C32" i="29"/>
  <c r="F16" i="10"/>
  <c r="L14" i="31"/>
  <c r="E32" i="24"/>
  <c r="I30" i="23"/>
  <c r="E84" i="46"/>
  <c r="F85" i="46"/>
  <c r="M29" i="14"/>
  <c r="L26" i="25"/>
  <c r="E19" i="24"/>
  <c r="D18" i="24"/>
  <c r="P25" i="28"/>
  <c r="P24" i="28"/>
  <c r="E8" i="24"/>
  <c r="R16" i="28"/>
  <c r="E23" i="36"/>
  <c r="AA21" i="28"/>
  <c r="AA16" i="28"/>
  <c r="U21" i="28"/>
  <c r="U16" i="28"/>
  <c r="D12" i="46"/>
  <c r="F12" i="46"/>
  <c r="F14" i="46"/>
  <c r="F19" i="46"/>
  <c r="D17" i="46"/>
  <c r="F17" i="46"/>
  <c r="F34" i="46"/>
  <c r="E27" i="46"/>
  <c r="F27" i="46"/>
  <c r="E36" i="46"/>
  <c r="F36" i="46"/>
  <c r="F37" i="46"/>
  <c r="E43" i="46"/>
  <c r="F43" i="46"/>
  <c r="F44" i="46"/>
  <c r="E46" i="46"/>
  <c r="F46" i="46"/>
  <c r="F47" i="46"/>
  <c r="D72" i="46"/>
  <c r="F74" i="46"/>
  <c r="H36" i="28"/>
  <c r="H35" i="28"/>
  <c r="H34" i="28"/>
  <c r="I27" i="23"/>
  <c r="F54" i="45"/>
  <c r="F7" i="45"/>
  <c r="J6" i="31"/>
  <c r="G41" i="25"/>
  <c r="D19" i="36"/>
  <c r="F19" i="36"/>
  <c r="D13" i="36"/>
  <c r="F13" i="36"/>
  <c r="D21" i="36"/>
  <c r="F21" i="36"/>
  <c r="D22" i="36"/>
  <c r="F22" i="36"/>
  <c r="L13" i="31"/>
  <c r="D18" i="36"/>
  <c r="F18" i="36"/>
  <c r="K11" i="31"/>
  <c r="L12" i="31"/>
  <c r="D8" i="36"/>
  <c r="C16" i="38"/>
  <c r="C10" i="38"/>
  <c r="I15" i="31"/>
  <c r="L10" i="31"/>
  <c r="L9" i="31"/>
  <c r="L42" i="25"/>
  <c r="O41" i="25"/>
  <c r="L43" i="25"/>
  <c r="L41" i="25"/>
  <c r="P23" i="28"/>
  <c r="P46" i="28"/>
  <c r="M13" i="24"/>
  <c r="A38" i="24"/>
  <c r="A39" i="24"/>
  <c r="I8" i="24"/>
  <c r="O17" i="28"/>
  <c r="G24" i="25"/>
  <c r="H6" i="28"/>
  <c r="J6" i="28"/>
  <c r="J46" i="28"/>
  <c r="L31" i="25"/>
  <c r="K49" i="23"/>
  <c r="O28" i="28"/>
  <c r="K39" i="23"/>
  <c r="O19" i="28"/>
  <c r="J19" i="23"/>
  <c r="J18" i="23"/>
  <c r="I23" i="28"/>
  <c r="V6" i="28"/>
  <c r="V46" i="28"/>
  <c r="J53" i="23"/>
  <c r="Y6" i="28"/>
  <c r="Y46" i="28"/>
  <c r="H32" i="23"/>
  <c r="L25" i="25"/>
  <c r="H41" i="25"/>
  <c r="M11" i="23"/>
  <c r="M9" i="23"/>
  <c r="O41" i="28"/>
  <c r="H25" i="23"/>
  <c r="K40" i="23"/>
  <c r="L27" i="23"/>
  <c r="L40" i="23"/>
  <c r="R6" i="28"/>
  <c r="R46" i="28"/>
  <c r="L16" i="28"/>
  <c r="S16" i="28"/>
  <c r="G16" i="28"/>
  <c r="K16" i="28"/>
  <c r="S7" i="28"/>
  <c r="N6" i="28"/>
  <c r="N46" i="28"/>
  <c r="K11" i="28"/>
  <c r="K7" i="28"/>
  <c r="AB6" i="28"/>
  <c r="AB46" i="28"/>
  <c r="I41" i="23"/>
  <c r="K37" i="28"/>
  <c r="K36" i="28"/>
  <c r="K35" i="28"/>
  <c r="K34" i="28"/>
  <c r="O13" i="28"/>
  <c r="O11" i="28"/>
  <c r="O37" i="28"/>
  <c r="S32" i="28"/>
  <c r="S31" i="28"/>
  <c r="S30" i="28"/>
  <c r="H40" i="23"/>
  <c r="O21" i="28"/>
  <c r="X6" i="28"/>
  <c r="X46" i="28"/>
  <c r="U6" i="28"/>
  <c r="U46" i="28"/>
  <c r="G7" i="28"/>
  <c r="I6" i="28"/>
  <c r="O8" i="28"/>
  <c r="N46" i="25"/>
  <c r="D41" i="25"/>
  <c r="I34" i="23"/>
  <c r="H15" i="25"/>
  <c r="L16" i="25"/>
  <c r="L15" i="25"/>
  <c r="K25" i="23"/>
  <c r="H24" i="25"/>
  <c r="K46" i="25"/>
  <c r="O24" i="25"/>
  <c r="L24" i="25"/>
  <c r="H46" i="23"/>
  <c r="L34" i="23"/>
  <c r="L20" i="25"/>
  <c r="L14" i="25"/>
  <c r="L7" i="25"/>
  <c r="P38" i="24"/>
  <c r="M38" i="24"/>
  <c r="M15" i="23"/>
  <c r="M14" i="24"/>
  <c r="M33" i="24"/>
  <c r="J46" i="25"/>
  <c r="J48" i="25"/>
  <c r="O21" i="25"/>
  <c r="L21" i="25"/>
  <c r="I27" i="24"/>
  <c r="P27" i="24"/>
  <c r="P26" i="24"/>
  <c r="P29" i="24"/>
  <c r="P8" i="24"/>
  <c r="K13" i="23"/>
  <c r="K50" i="23"/>
  <c r="E87" i="47"/>
  <c r="E89" i="47"/>
  <c r="F89" i="47"/>
  <c r="F87" i="47"/>
  <c r="D87" i="45"/>
  <c r="D141" i="44"/>
  <c r="D91" i="44"/>
  <c r="C46" i="25"/>
  <c r="L24" i="23"/>
  <c r="L44" i="23"/>
  <c r="H44" i="23"/>
  <c r="G46" i="25"/>
  <c r="M17" i="23"/>
  <c r="O8" i="25"/>
  <c r="H8" i="25"/>
  <c r="M22" i="24"/>
  <c r="M9" i="24"/>
  <c r="M8" i="24"/>
  <c r="C35" i="33"/>
  <c r="C41" i="33"/>
  <c r="L8" i="31"/>
  <c r="F72" i="46"/>
  <c r="D86" i="46"/>
  <c r="I14" i="23"/>
  <c r="E48" i="46"/>
  <c r="K26" i="28"/>
  <c r="G25" i="28"/>
  <c r="G24" i="28"/>
  <c r="G23" i="28"/>
  <c r="L15" i="31"/>
  <c r="I26" i="23"/>
  <c r="I40" i="23"/>
  <c r="M27" i="23"/>
  <c r="I19" i="24"/>
  <c r="E18" i="24"/>
  <c r="I16" i="23"/>
  <c r="M16" i="23"/>
  <c r="I29" i="23"/>
  <c r="M30" i="23"/>
  <c r="M29" i="23"/>
  <c r="M26" i="12"/>
  <c r="L31" i="12"/>
  <c r="M31" i="12"/>
  <c r="L29" i="23"/>
  <c r="AA6" i="28"/>
  <c r="AA46" i="28"/>
  <c r="F46" i="25"/>
  <c r="D91" i="47"/>
  <c r="D48" i="46"/>
  <c r="D92" i="47"/>
  <c r="J38" i="23"/>
  <c r="J9" i="23"/>
  <c r="J49" i="23"/>
  <c r="K22" i="23"/>
  <c r="K18" i="23"/>
  <c r="K44" i="23"/>
  <c r="I44" i="23"/>
  <c r="M24" i="23"/>
  <c r="M44" i="23"/>
  <c r="K31" i="28"/>
  <c r="K30" i="28"/>
  <c r="O32" i="28"/>
  <c r="O31" i="28"/>
  <c r="O30" i="28"/>
  <c r="J26" i="23"/>
  <c r="J25" i="23"/>
  <c r="J40" i="23"/>
  <c r="D7" i="24"/>
  <c r="D39" i="24"/>
  <c r="H16" i="23"/>
  <c r="P32" i="24"/>
  <c r="I32" i="24"/>
  <c r="K54" i="23"/>
  <c r="K52" i="23"/>
  <c r="K43" i="23"/>
  <c r="M32" i="24"/>
  <c r="F84" i="46"/>
  <c r="E86" i="46"/>
  <c r="E87" i="46"/>
  <c r="E89" i="46"/>
  <c r="J54" i="23"/>
  <c r="J12" i="23"/>
  <c r="K12" i="23"/>
  <c r="K8" i="23"/>
  <c r="H54" i="23"/>
  <c r="L17" i="23"/>
  <c r="H7" i="24"/>
  <c r="H25" i="28"/>
  <c r="H24" i="28"/>
  <c r="H23" i="28"/>
  <c r="L26" i="28"/>
  <c r="L36" i="28"/>
  <c r="S37" i="28"/>
  <c r="L10" i="23"/>
  <c r="J43" i="23"/>
  <c r="J42" i="23"/>
  <c r="I54" i="23"/>
  <c r="L7" i="28"/>
  <c r="I6" i="31"/>
  <c r="L11" i="31"/>
  <c r="F23" i="36"/>
  <c r="F26" i="36"/>
  <c r="D23" i="36"/>
  <c r="C17" i="38"/>
  <c r="L19" i="38"/>
  <c r="L6" i="31"/>
  <c r="M53" i="23"/>
  <c r="O36" i="28"/>
  <c r="O35" i="28"/>
  <c r="O34" i="28"/>
  <c r="I46" i="28"/>
  <c r="J52" i="23"/>
  <c r="L6" i="28"/>
  <c r="S6" i="28"/>
  <c r="G6" i="28"/>
  <c r="G46" i="28"/>
  <c r="L26" i="23"/>
  <c r="L25" i="23"/>
  <c r="M43" i="23"/>
  <c r="O7" i="28"/>
  <c r="D46" i="25"/>
  <c r="L46" i="25"/>
  <c r="A46" i="25"/>
  <c r="L46" i="23"/>
  <c r="L55" i="23"/>
  <c r="O15" i="25"/>
  <c r="O14" i="25"/>
  <c r="O7" i="25"/>
  <c r="O46" i="25"/>
  <c r="H14" i="25"/>
  <c r="H7" i="25"/>
  <c r="H46" i="25"/>
  <c r="I55" i="23"/>
  <c r="I52" i="23"/>
  <c r="M34" i="23"/>
  <c r="I32" i="23"/>
  <c r="I46" i="23"/>
  <c r="I42" i="23"/>
  <c r="L54" i="23"/>
  <c r="K38" i="23"/>
  <c r="I26" i="24"/>
  <c r="D91" i="45"/>
  <c r="F87" i="45"/>
  <c r="F48" i="46"/>
  <c r="L22" i="23"/>
  <c r="K42" i="23"/>
  <c r="K7" i="23"/>
  <c r="J8" i="23"/>
  <c r="J7" i="23"/>
  <c r="F86" i="46"/>
  <c r="D87" i="46"/>
  <c r="M40" i="23"/>
  <c r="M26" i="23"/>
  <c r="M25" i="23"/>
  <c r="O26" i="28"/>
  <c r="O25" i="28"/>
  <c r="O24" i="28"/>
  <c r="O23" i="28"/>
  <c r="K25" i="28"/>
  <c r="K24" i="28"/>
  <c r="K23" i="28"/>
  <c r="S36" i="28"/>
  <c r="S35" i="28"/>
  <c r="S34" i="28"/>
  <c r="L35" i="28"/>
  <c r="L34" i="28"/>
  <c r="H43" i="23"/>
  <c r="H42" i="23"/>
  <c r="H53" i="23"/>
  <c r="H52" i="23"/>
  <c r="L11" i="23"/>
  <c r="L9" i="23"/>
  <c r="H9" i="23"/>
  <c r="L25" i="28"/>
  <c r="L24" i="28"/>
  <c r="L23" i="28"/>
  <c r="S26" i="28"/>
  <c r="S25" i="28"/>
  <c r="S24" i="28"/>
  <c r="S23" i="28"/>
  <c r="M22" i="23"/>
  <c r="P19" i="24"/>
  <c r="P18" i="24"/>
  <c r="P7" i="24"/>
  <c r="M19" i="24"/>
  <c r="M18" i="24"/>
  <c r="M7" i="24"/>
  <c r="I18" i="24"/>
  <c r="I7" i="24"/>
  <c r="E7" i="24"/>
  <c r="E39" i="24"/>
  <c r="M54" i="23"/>
  <c r="O16" i="28"/>
  <c r="K6" i="28"/>
  <c r="K46" i="28"/>
  <c r="H46" i="28"/>
  <c r="H13" i="23"/>
  <c r="L16" i="23"/>
  <c r="L13" i="23"/>
  <c r="I25" i="23"/>
  <c r="L20" i="23"/>
  <c r="L49" i="23"/>
  <c r="H39" i="23"/>
  <c r="H19" i="23"/>
  <c r="H18" i="23"/>
  <c r="H49" i="23"/>
  <c r="I13" i="23"/>
  <c r="M14" i="23"/>
  <c r="M13" i="23"/>
  <c r="O6" i="28"/>
  <c r="O46" i="28"/>
  <c r="L46" i="28"/>
  <c r="S46" i="28"/>
  <c r="M46" i="23"/>
  <c r="M42" i="23"/>
  <c r="M55" i="23"/>
  <c r="M52" i="23"/>
  <c r="L50" i="23"/>
  <c r="L12" i="23"/>
  <c r="L8" i="23"/>
  <c r="H12" i="23"/>
  <c r="H50" i="23"/>
  <c r="H48" i="23"/>
  <c r="H47" i="23"/>
  <c r="H38" i="23"/>
  <c r="H37" i="23"/>
  <c r="H36" i="23"/>
  <c r="L38" i="23"/>
  <c r="D89" i="46"/>
  <c r="D91" i="46"/>
  <c r="F87" i="46"/>
  <c r="I12" i="23"/>
  <c r="I8" i="23"/>
  <c r="I50" i="23"/>
  <c r="I38" i="23"/>
  <c r="L19" i="23"/>
  <c r="L18" i="23"/>
  <c r="L39" i="23"/>
  <c r="L53" i="23"/>
  <c r="L52" i="23"/>
  <c r="L43" i="23"/>
  <c r="L42" i="23"/>
  <c r="M50" i="23"/>
  <c r="M12" i="23"/>
  <c r="M8" i="23"/>
  <c r="M38" i="23"/>
  <c r="I39" i="23"/>
  <c r="I19" i="23"/>
  <c r="I18" i="23"/>
  <c r="M20" i="23"/>
  <c r="I49" i="23"/>
  <c r="I48" i="23"/>
  <c r="I47" i="23"/>
  <c r="H8" i="23"/>
  <c r="H7" i="23"/>
  <c r="H6" i="23"/>
  <c r="L7" i="23"/>
  <c r="I37" i="23"/>
  <c r="I36" i="23"/>
  <c r="F63" i="23"/>
  <c r="F65" i="23"/>
  <c r="F67" i="23"/>
  <c r="D92" i="46"/>
  <c r="F89" i="46"/>
  <c r="M39" i="23"/>
  <c r="M19" i="23"/>
  <c r="M18" i="23"/>
  <c r="M7" i="23"/>
  <c r="M49" i="23"/>
  <c r="I7" i="23"/>
  <c r="I6" i="23"/>
  <c r="H36" i="24"/>
  <c r="H39" i="24"/>
  <c r="I36" i="24"/>
  <c r="I39" i="24"/>
  <c r="P37" i="24"/>
  <c r="P36" i="24"/>
  <c r="P39" i="24"/>
  <c r="G36" i="24"/>
  <c r="K33" i="23"/>
  <c r="M37" i="24"/>
  <c r="M36" i="24"/>
  <c r="M39" i="24"/>
  <c r="F36" i="24"/>
  <c r="F39" i="24"/>
  <c r="J33" i="23"/>
  <c r="K51" i="23"/>
  <c r="K48" i="23"/>
  <c r="K47" i="23"/>
  <c r="K41" i="23"/>
  <c r="K37" i="23"/>
  <c r="K36" i="23"/>
  <c r="F72" i="23"/>
  <c r="F74" i="23"/>
  <c r="F82" i="23"/>
  <c r="F83" i="23"/>
  <c r="M33" i="23"/>
  <c r="G39" i="24"/>
  <c r="J41" i="23"/>
  <c r="J37" i="23"/>
  <c r="J36" i="23"/>
  <c r="J32" i="23"/>
  <c r="J6" i="23"/>
  <c r="L33" i="23"/>
  <c r="J51" i="23"/>
  <c r="J48" i="23"/>
  <c r="J47" i="23"/>
  <c r="K32" i="23"/>
  <c r="K6" i="23"/>
  <c r="F86" i="23"/>
  <c r="F88" i="23"/>
  <c r="F99" i="23"/>
  <c r="M41" i="23"/>
  <c r="M37" i="23"/>
  <c r="M36" i="23"/>
  <c r="M51" i="23"/>
  <c r="M48" i="23"/>
  <c r="M47" i="23"/>
  <c r="M32" i="23"/>
  <c r="M6" i="23"/>
  <c r="L41" i="23"/>
  <c r="L37" i="23"/>
  <c r="L36" i="23"/>
  <c r="L32" i="23"/>
  <c r="L6" i="23"/>
  <c r="L51" i="23"/>
  <c r="L48" i="23"/>
  <c r="L47" i="23"/>
</calcChain>
</file>

<file path=xl/sharedStrings.xml><?xml version="1.0" encoding="utf-8"?>
<sst xmlns="http://schemas.openxmlformats.org/spreadsheetml/2006/main" count="2323" uniqueCount="1387">
  <si>
    <t xml:space="preserve">            zmařené investice*3</t>
  </si>
  <si>
    <r>
      <rPr>
        <sz val="8"/>
        <color indexed="8"/>
        <rFont val="Calibri"/>
        <family val="2"/>
        <charset val="238"/>
      </rPr>
      <t>(6)</t>
    </r>
    <r>
      <rPr>
        <sz val="10"/>
        <color indexed="8"/>
        <rFont val="Calibri"/>
        <family val="2"/>
        <charset val="238"/>
      </rPr>
      <t xml:space="preserve"> Do řádku "</t>
    </r>
    <r>
      <rPr>
        <b/>
        <sz val="10"/>
        <color indexed="8"/>
        <rFont val="Calibri"/>
        <family val="2"/>
        <charset val="238"/>
      </rPr>
      <t>Tržby za vlastní služby</t>
    </r>
    <r>
      <rPr>
        <sz val="10"/>
        <color indexed="8"/>
        <rFont val="Calibri"/>
        <family val="2"/>
        <charset val="238"/>
      </rPr>
      <t>" se doplní výnosy z hlavní a doplňkové činnosti uvedené ve výkazu zisku a ztráty na syntetickém účtu 602 "Tržby z prodeje služeb" bez zahrnutí výnosů z pronájmu. Současně v případě, že vysoká škola účtuje výnosy z pronájmu i na jiných syntetických účtech než na účtu 602 Tržby z prodeje služeb uvede tuto informaci do komentáře v textu výroční zprávy VŠ k tabulce č. 6.</t>
    </r>
  </si>
  <si>
    <t>AKTIVA</t>
  </si>
  <si>
    <t xml:space="preserve">A.Dlouhodobý majetek celkem            </t>
  </si>
  <si>
    <t>ř.2+10+21+29</t>
  </si>
  <si>
    <t>0001</t>
  </si>
  <si>
    <t xml:space="preserve">   I. Dlouhodobý nehmotný majetek celkem             </t>
  </si>
  <si>
    <t>ř.3 až 9</t>
  </si>
  <si>
    <t>0002</t>
  </si>
  <si>
    <t xml:space="preserve">                    1.Nehmotné výsledky výzkumu a vývoje</t>
  </si>
  <si>
    <t>012</t>
  </si>
  <si>
    <t>0003</t>
  </si>
  <si>
    <t xml:space="preserve">                    2.Software</t>
  </si>
  <si>
    <t>013</t>
  </si>
  <si>
    <t>0004</t>
  </si>
  <si>
    <t xml:space="preserve">                    3.Ocenitelná práva</t>
  </si>
  <si>
    <t>014</t>
  </si>
  <si>
    <t>0005</t>
  </si>
  <si>
    <t xml:space="preserve">                    4.Drobný dlouhodobý nehmotný majetek</t>
  </si>
  <si>
    <t>018</t>
  </si>
  <si>
    <t>0006</t>
  </si>
  <si>
    <t xml:space="preserve">                    5.Ostatní dlouhodobý nehmotný majetek</t>
  </si>
  <si>
    <t>019</t>
  </si>
  <si>
    <t>0007</t>
  </si>
  <si>
    <t xml:space="preserve">                    6.Nedokončený dlouhodobý nehmotný majetek</t>
  </si>
  <si>
    <t>041</t>
  </si>
  <si>
    <t>0008</t>
  </si>
  <si>
    <t xml:space="preserve">                    7.Poskytnuté zálohy na dlouhodobý nehmotný majetek</t>
  </si>
  <si>
    <t>051</t>
  </si>
  <si>
    <t>0009</t>
  </si>
  <si>
    <t xml:space="preserve">    II. Dlouhodobý hmotný majetek celkem            </t>
  </si>
  <si>
    <t>ř.11 až 20</t>
  </si>
  <si>
    <t>0010</t>
  </si>
  <si>
    <t xml:space="preserve">                    1.Pozemky</t>
  </si>
  <si>
    <t>031</t>
  </si>
  <si>
    <t>0011</t>
  </si>
  <si>
    <t xml:space="preserve">                    2.Umělecká díla,předměty a sbírky</t>
  </si>
  <si>
    <t>032</t>
  </si>
  <si>
    <t>0012</t>
  </si>
  <si>
    <t xml:space="preserve">                    3.Stavby</t>
  </si>
  <si>
    <t>021</t>
  </si>
  <si>
    <t>0013</t>
  </si>
  <si>
    <t xml:space="preserve">                    4.Samostatné movité věci a soubory movitých věcí</t>
  </si>
  <si>
    <t>022</t>
  </si>
  <si>
    <t>0014</t>
  </si>
  <si>
    <t xml:space="preserve">                    5.Pěstitelské celky trvalých porostů</t>
  </si>
  <si>
    <t>025</t>
  </si>
  <si>
    <t>0015</t>
  </si>
  <si>
    <t xml:space="preserve">                    6.Základní stádo a tažná zvířata</t>
  </si>
  <si>
    <t>026</t>
  </si>
  <si>
    <t>0016</t>
  </si>
  <si>
    <t xml:space="preserve">                    7.Drobný dlouhodobý hmotný majetek</t>
  </si>
  <si>
    <t>028</t>
  </si>
  <si>
    <t>0017</t>
  </si>
  <si>
    <t xml:space="preserve">                    8.Ostatní dlouhodobý hmotný majetek</t>
  </si>
  <si>
    <t>029</t>
  </si>
  <si>
    <t>0018</t>
  </si>
  <si>
    <t xml:space="preserve">                    9.Nedokončený dlouhodobý hmotný majetek</t>
  </si>
  <si>
    <t>042</t>
  </si>
  <si>
    <t>0019</t>
  </si>
  <si>
    <t xml:space="preserve">                  10.Poskytnuté zálohy na dlouhodobý hnotný majetek</t>
  </si>
  <si>
    <t>052</t>
  </si>
  <si>
    <t>0020</t>
  </si>
  <si>
    <t xml:space="preserve">    III. Dlouhodobý finanční majetek celkem            </t>
  </si>
  <si>
    <t>ř.22 až 28</t>
  </si>
  <si>
    <t>0021</t>
  </si>
  <si>
    <t xml:space="preserve">                    1.Podíly v ovládaných a řízených osobách</t>
  </si>
  <si>
    <t>061</t>
  </si>
  <si>
    <t>0022</t>
  </si>
  <si>
    <t xml:space="preserve">                    2.Podíly v osobách pod podstatným vlivem</t>
  </si>
  <si>
    <t>062</t>
  </si>
  <si>
    <t>0023</t>
  </si>
  <si>
    <t xml:space="preserve">                    3.Dluhové cenné papíry držené do splatnosti</t>
  </si>
  <si>
    <t>063</t>
  </si>
  <si>
    <t>0024</t>
  </si>
  <si>
    <t xml:space="preserve">                    4.Půjčky organizačním složkám</t>
  </si>
  <si>
    <t>066</t>
  </si>
  <si>
    <t>0025</t>
  </si>
  <si>
    <t xml:space="preserve">                    5.Ostatní dlouhodobé půjčky</t>
  </si>
  <si>
    <t>067</t>
  </si>
  <si>
    <t>0026</t>
  </si>
  <si>
    <t xml:space="preserve">                    6.Ostatní dlouhodobý finanční majetek</t>
  </si>
  <si>
    <t>069</t>
  </si>
  <si>
    <t>0027</t>
  </si>
  <si>
    <t>043</t>
  </si>
  <si>
    <t>0028</t>
  </si>
  <si>
    <t xml:space="preserve">    IV. Oprávky k dlouhodobému majetku celkem    </t>
  </si>
  <si>
    <t>ř.30 až 40</t>
  </si>
  <si>
    <t>0029</t>
  </si>
  <si>
    <t xml:space="preserve">                    1.Oprávky k nehmotným výsledkům výzkumu a vývoje</t>
  </si>
  <si>
    <t>072</t>
  </si>
  <si>
    <t>0030</t>
  </si>
  <si>
    <t xml:space="preserve">                    2.Oprávky k softwaru</t>
  </si>
  <si>
    <t>073</t>
  </si>
  <si>
    <t>0031</t>
  </si>
  <si>
    <t xml:space="preserve">                    3.Oprávky k ocenitelným právům</t>
  </si>
  <si>
    <t>074</t>
  </si>
  <si>
    <t>0032</t>
  </si>
  <si>
    <t xml:space="preserve">                    4.Oprávky k drobnému dlouhodobému nehm. majetku</t>
  </si>
  <si>
    <t>078</t>
  </si>
  <si>
    <t>0033</t>
  </si>
  <si>
    <t xml:space="preserve">                    5.Oprávky k ostatnímu dlouhodobému nehm. majetku</t>
  </si>
  <si>
    <t>079</t>
  </si>
  <si>
    <t>0034</t>
  </si>
  <si>
    <t xml:space="preserve">                    6.Oprávky ke stavbám</t>
  </si>
  <si>
    <t>081</t>
  </si>
  <si>
    <t>0035</t>
  </si>
  <si>
    <t xml:space="preserve">                    7.Oprávky k samost.movitým věcem a soub.movit.věcí</t>
  </si>
  <si>
    <t>082</t>
  </si>
  <si>
    <t>0036</t>
  </si>
  <si>
    <t xml:space="preserve">                    8.Oprávky k pěstitelským celkům trvalých porostů</t>
  </si>
  <si>
    <t>085</t>
  </si>
  <si>
    <t>0037</t>
  </si>
  <si>
    <t xml:space="preserve">                    9.Oprávky k základnímu stádu a tažným zvířatům</t>
  </si>
  <si>
    <t>086</t>
  </si>
  <si>
    <t>0038</t>
  </si>
  <si>
    <t>088</t>
  </si>
  <si>
    <t>0039</t>
  </si>
  <si>
    <t>089</t>
  </si>
  <si>
    <t>0040</t>
  </si>
  <si>
    <t xml:space="preserve">B. Krátkodobý majetek celkem                    </t>
  </si>
  <si>
    <t>ř.42+52+72+81</t>
  </si>
  <si>
    <t>0041</t>
  </si>
  <si>
    <t xml:space="preserve">    I. Zásoby celkem                                          </t>
  </si>
  <si>
    <t>ř.43 až 51</t>
  </si>
  <si>
    <t>0042</t>
  </si>
  <si>
    <t xml:space="preserve">                    1.Materiál na skladě</t>
  </si>
  <si>
    <t>112</t>
  </si>
  <si>
    <t>0043</t>
  </si>
  <si>
    <t xml:space="preserve">                    2.Materiál na cestě</t>
  </si>
  <si>
    <t>119</t>
  </si>
  <si>
    <t>0044</t>
  </si>
  <si>
    <t xml:space="preserve">                    3.Nedokončená výroba</t>
  </si>
  <si>
    <t>121</t>
  </si>
  <si>
    <t>0045</t>
  </si>
  <si>
    <t xml:space="preserve">                    4.Polotovary vlastní výroby</t>
  </si>
  <si>
    <t>122</t>
  </si>
  <si>
    <t>0046</t>
  </si>
  <si>
    <t xml:space="preserve">                    5.Výrobky</t>
  </si>
  <si>
    <t>123</t>
  </si>
  <si>
    <t>0047</t>
  </si>
  <si>
    <t xml:space="preserve">                    6.Zvířata</t>
  </si>
  <si>
    <t>124</t>
  </si>
  <si>
    <t>0048</t>
  </si>
  <si>
    <t xml:space="preserve">                    7.Zboží na skladě a v prodejnách</t>
  </si>
  <si>
    <t>132</t>
  </si>
  <si>
    <t>0049</t>
  </si>
  <si>
    <t xml:space="preserve">                    8.Zboží na cestě</t>
  </si>
  <si>
    <t>139</t>
  </si>
  <si>
    <t>0050</t>
  </si>
  <si>
    <t xml:space="preserve">                    9.Poskytnuté zálohy na zásoby</t>
  </si>
  <si>
    <t>z 314</t>
  </si>
  <si>
    <t>0051</t>
  </si>
  <si>
    <t xml:space="preserve">   II. Pohledávky celkem                                       </t>
  </si>
  <si>
    <t>ř.53 až71</t>
  </si>
  <si>
    <t>0052</t>
  </si>
  <si>
    <t xml:space="preserve">                    1.Odběratelé</t>
  </si>
  <si>
    <t>311</t>
  </si>
  <si>
    <t>0053</t>
  </si>
  <si>
    <t xml:space="preserve">                    2.Směnky k inkasu</t>
  </si>
  <si>
    <t>312</t>
  </si>
  <si>
    <t>0054</t>
  </si>
  <si>
    <t xml:space="preserve">                    3.Pohledávky za eskontované cenné papíry</t>
  </si>
  <si>
    <t>313</t>
  </si>
  <si>
    <t>0055</t>
  </si>
  <si>
    <t xml:space="preserve">                    4.Poskytnuté provozní zálohy</t>
  </si>
  <si>
    <t>0056</t>
  </si>
  <si>
    <t xml:space="preserve">                    5.Ostatní pohledávky</t>
  </si>
  <si>
    <t>315</t>
  </si>
  <si>
    <t>0057</t>
  </si>
  <si>
    <t xml:space="preserve">                    6.Pohledávky za zaměstnanci</t>
  </si>
  <si>
    <t>335</t>
  </si>
  <si>
    <t>0058</t>
  </si>
  <si>
    <t>336</t>
  </si>
  <si>
    <t>0059</t>
  </si>
  <si>
    <t xml:space="preserve">                    8.Daň z příjmů</t>
  </si>
  <si>
    <t>341</t>
  </si>
  <si>
    <t>0060</t>
  </si>
  <si>
    <t xml:space="preserve">                    9.Ostatní přímé daně</t>
  </si>
  <si>
    <t>342</t>
  </si>
  <si>
    <t>0061</t>
  </si>
  <si>
    <t xml:space="preserve">                   10.Daň z přidané hodnoty</t>
  </si>
  <si>
    <t>343</t>
  </si>
  <si>
    <t>0062</t>
  </si>
  <si>
    <t xml:space="preserve">                   11.Ostatní daně a poplatky</t>
  </si>
  <si>
    <t>345</t>
  </si>
  <si>
    <t>0063</t>
  </si>
  <si>
    <t xml:space="preserve">                   12.Nároky na dotace a ostatní zúčtování se st.ozpočtem</t>
  </si>
  <si>
    <t>346</t>
  </si>
  <si>
    <t>0064</t>
  </si>
  <si>
    <t>348</t>
  </si>
  <si>
    <t>0065</t>
  </si>
  <si>
    <t xml:space="preserve">                   14.Pohledávky za účastníky sdružení</t>
  </si>
  <si>
    <t>358</t>
  </si>
  <si>
    <t>0066</t>
  </si>
  <si>
    <t>373</t>
  </si>
  <si>
    <t>0067</t>
  </si>
  <si>
    <t>375</t>
  </si>
  <si>
    <t>0068</t>
  </si>
  <si>
    <t xml:space="preserve">                   17.Jiné pohledávky</t>
  </si>
  <si>
    <t>378</t>
  </si>
  <si>
    <t>0069</t>
  </si>
  <si>
    <t xml:space="preserve">                   18.Dohadné účty aktivní</t>
  </si>
  <si>
    <t>388</t>
  </si>
  <si>
    <t>0070</t>
  </si>
  <si>
    <t xml:space="preserve">                   19.Opravná položka k pohledávkám</t>
  </si>
  <si>
    <t>391</t>
  </si>
  <si>
    <t>0071</t>
  </si>
  <si>
    <t xml:space="preserve">   III. Krátkodobý finanční majetek celkem             </t>
  </si>
  <si>
    <t>ř.73 až 80</t>
  </si>
  <si>
    <t>0072</t>
  </si>
  <si>
    <t xml:space="preserve">                     1.Pokladna</t>
  </si>
  <si>
    <t>211</t>
  </si>
  <si>
    <t>0073</t>
  </si>
  <si>
    <t xml:space="preserve">                     2.Ceniny</t>
  </si>
  <si>
    <t>213</t>
  </si>
  <si>
    <t>0074</t>
  </si>
  <si>
    <t xml:space="preserve">                     3.Účty v bankách</t>
  </si>
  <si>
    <t>221</t>
  </si>
  <si>
    <t>0075</t>
  </si>
  <si>
    <t xml:space="preserve">                     4.Majetkové cenné papíry k obchodování</t>
  </si>
  <si>
    <t>251</t>
  </si>
  <si>
    <t>0076</t>
  </si>
  <si>
    <t xml:space="preserve">                     5.Dluhové cenné papíry k obchodování</t>
  </si>
  <si>
    <t>253</t>
  </si>
  <si>
    <t>0077</t>
  </si>
  <si>
    <t xml:space="preserve">                     6.Ostatní cenné papíry</t>
  </si>
  <si>
    <t>256</t>
  </si>
  <si>
    <t>0078</t>
  </si>
  <si>
    <t xml:space="preserve">                     7.Pořizovaný krátkodobý finanční majetek</t>
  </si>
  <si>
    <t>259</t>
  </si>
  <si>
    <t>0079</t>
  </si>
  <si>
    <t xml:space="preserve">                     8.Peníze na cestě</t>
  </si>
  <si>
    <t>261</t>
  </si>
  <si>
    <t>0080</t>
  </si>
  <si>
    <t xml:space="preserve">    IV. Jiná aktiva celkem                                    </t>
  </si>
  <si>
    <t>ř.82 až 84</t>
  </si>
  <si>
    <t>0081</t>
  </si>
  <si>
    <t xml:space="preserve">                     1.Náklady příštích období</t>
  </si>
  <si>
    <t>381</t>
  </si>
  <si>
    <t>0082</t>
  </si>
  <si>
    <t xml:space="preserve">                     2.Příjmy příštích období</t>
  </si>
  <si>
    <t>385</t>
  </si>
  <si>
    <t>0083</t>
  </si>
  <si>
    <t xml:space="preserve">                     3.Kursové rozdíly aktivní</t>
  </si>
  <si>
    <t>386</t>
  </si>
  <si>
    <t>0084</t>
  </si>
  <si>
    <t xml:space="preserve">Aktiva celkem                                                        </t>
  </si>
  <si>
    <t>ř. 1+41</t>
  </si>
  <si>
    <t>0085</t>
  </si>
  <si>
    <t xml:space="preserve">PASIVA  </t>
  </si>
  <si>
    <t xml:space="preserve"> </t>
  </si>
  <si>
    <t xml:space="preserve">A. Vlastní zdroje celkem                                       </t>
  </si>
  <si>
    <t>ř.87+91</t>
  </si>
  <si>
    <t>0086</t>
  </si>
  <si>
    <t xml:space="preserve">     I. Jmění celkem                                          </t>
  </si>
  <si>
    <t>ř.88 až 90</t>
  </si>
  <si>
    <t>0087</t>
  </si>
  <si>
    <t xml:space="preserve">                     1.Vlastní jmění</t>
  </si>
  <si>
    <t>901</t>
  </si>
  <si>
    <t>0088</t>
  </si>
  <si>
    <t xml:space="preserve">                     2.Fondy</t>
  </si>
  <si>
    <t>911</t>
  </si>
  <si>
    <t>0089</t>
  </si>
  <si>
    <t xml:space="preserve">                     3.Oceňovací rozdíly z přecenění finančního majetku a závazků</t>
  </si>
  <si>
    <t>921</t>
  </si>
  <si>
    <t>0090</t>
  </si>
  <si>
    <t>ř.92 až 94</t>
  </si>
  <si>
    <t>0091</t>
  </si>
  <si>
    <t xml:space="preserve">                     1.Účet výsledku hospodaření</t>
  </si>
  <si>
    <t>963</t>
  </si>
  <si>
    <t>0092</t>
  </si>
  <si>
    <t xml:space="preserve">                     2.Výsledek hospodaření ve schvalovacím řízení</t>
  </si>
  <si>
    <t>931</t>
  </si>
  <si>
    <t>0093</t>
  </si>
  <si>
    <t>932</t>
  </si>
  <si>
    <t>0094</t>
  </si>
  <si>
    <t xml:space="preserve">B. Cizí zdroje celkem                              </t>
  </si>
  <si>
    <t>ř.96+98+106+130</t>
  </si>
  <si>
    <t>0095</t>
  </si>
  <si>
    <t xml:space="preserve">     I. Rezervy celkem                                                </t>
  </si>
  <si>
    <t>ř.97</t>
  </si>
  <si>
    <t>0096</t>
  </si>
  <si>
    <t xml:space="preserve">                     1.Rezervy</t>
  </si>
  <si>
    <t>941</t>
  </si>
  <si>
    <t>0097</t>
  </si>
  <si>
    <t xml:space="preserve">     II. Dlouhodobé závazky celkem                   </t>
  </si>
  <si>
    <t>ř.99 až 105</t>
  </si>
  <si>
    <t>0098</t>
  </si>
  <si>
    <t xml:space="preserve">                     1.Dlouhodobé bankovní úvěry</t>
  </si>
  <si>
    <t>951</t>
  </si>
  <si>
    <t>0099</t>
  </si>
  <si>
    <t>953</t>
  </si>
  <si>
    <t>0100</t>
  </si>
  <si>
    <t xml:space="preserve">                     3.Závazky z pronájmu</t>
  </si>
  <si>
    <t>954</t>
  </si>
  <si>
    <t>0101</t>
  </si>
  <si>
    <t xml:space="preserve">                     4.Přijaté dlouhodobé zálohy</t>
  </si>
  <si>
    <t>955</t>
  </si>
  <si>
    <t>0102</t>
  </si>
  <si>
    <t xml:space="preserve">                     5.Dlouhodobé směnky k úhradě</t>
  </si>
  <si>
    <t>958</t>
  </si>
  <si>
    <t>0103</t>
  </si>
  <si>
    <t xml:space="preserve">                     6.Dohadné účty pasivní</t>
  </si>
  <si>
    <t>z389</t>
  </si>
  <si>
    <t>0104</t>
  </si>
  <si>
    <t xml:space="preserve">                     7.Ostatní dlouhodobé závazky</t>
  </si>
  <si>
    <t>959</t>
  </si>
  <si>
    <t>0105</t>
  </si>
  <si>
    <t xml:space="preserve">    III. Krátkodobé závazky celkem                   </t>
  </si>
  <si>
    <t>ř.107 až 129</t>
  </si>
  <si>
    <t>0106</t>
  </si>
  <si>
    <t xml:space="preserve">                     1.Dodavatelé</t>
  </si>
  <si>
    <t>321</t>
  </si>
  <si>
    <t>0107</t>
  </si>
  <si>
    <t xml:space="preserve">                     2.Směnky k úhradě</t>
  </si>
  <si>
    <t>322</t>
  </si>
  <si>
    <t>0108</t>
  </si>
  <si>
    <t xml:space="preserve">                     3.Přijaté zálohy</t>
  </si>
  <si>
    <t>324</t>
  </si>
  <si>
    <t>0109</t>
  </si>
  <si>
    <t xml:space="preserve">                     4.Ostatní závazky</t>
  </si>
  <si>
    <t>325</t>
  </si>
  <si>
    <t>0110</t>
  </si>
  <si>
    <t xml:space="preserve">                     5.Zaměstnanci</t>
  </si>
  <si>
    <t>331</t>
  </si>
  <si>
    <t>0111</t>
  </si>
  <si>
    <t xml:space="preserve">                     6.Ostatní závazky vůči zaměstnancům</t>
  </si>
  <si>
    <t>333</t>
  </si>
  <si>
    <t>0112</t>
  </si>
  <si>
    <t>0113</t>
  </si>
  <si>
    <t xml:space="preserve">                     8.Daň z příjmu</t>
  </si>
  <si>
    <t>0114</t>
  </si>
  <si>
    <t xml:space="preserve">                     9.Ostatní přímé daně</t>
  </si>
  <si>
    <t>0115</t>
  </si>
  <si>
    <t xml:space="preserve">                    10.Daň z přidané hodnoty</t>
  </si>
  <si>
    <t>0116</t>
  </si>
  <si>
    <t xml:space="preserve">                    11.Ostatní daně a poplatky</t>
  </si>
  <si>
    <t>0117</t>
  </si>
  <si>
    <t xml:space="preserve">                    12.Závazky ze vztahu ke státnímu rozpočtu</t>
  </si>
  <si>
    <t>0118</t>
  </si>
  <si>
    <t>0119</t>
  </si>
  <si>
    <t>367</t>
  </si>
  <si>
    <t>0120</t>
  </si>
  <si>
    <t xml:space="preserve">                    15.Závazky k účastníkům sdružení</t>
  </si>
  <si>
    <t>368</t>
  </si>
  <si>
    <t>0121</t>
  </si>
  <si>
    <t xml:space="preserve">                    16.Závazky z pevných termínovaných operací a opcí</t>
  </si>
  <si>
    <t>0122</t>
  </si>
  <si>
    <t xml:space="preserve">                    17.Jiné závazky</t>
  </si>
  <si>
    <t>379</t>
  </si>
  <si>
    <t>0123</t>
  </si>
  <si>
    <t xml:space="preserve">                    18.Krátkodobé bankovní úvěry</t>
  </si>
  <si>
    <t>231</t>
  </si>
  <si>
    <t>0124</t>
  </si>
  <si>
    <t xml:space="preserve">                    19.Eskontní úvěry</t>
  </si>
  <si>
    <t>232</t>
  </si>
  <si>
    <t>0125</t>
  </si>
  <si>
    <t>241</t>
  </si>
  <si>
    <t>0126</t>
  </si>
  <si>
    <t xml:space="preserve">                    21.Vlastní dluhopisy</t>
  </si>
  <si>
    <t>255</t>
  </si>
  <si>
    <t>0127</t>
  </si>
  <si>
    <t xml:space="preserve">                    22.Dohadné účty pasivní</t>
  </si>
  <si>
    <t>0128</t>
  </si>
  <si>
    <t xml:space="preserve">                    23.Ostatní krátkodobé finanční výpomoci</t>
  </si>
  <si>
    <t>249</t>
  </si>
  <si>
    <t>0129</t>
  </si>
  <si>
    <t xml:space="preserve">    IV. Jiná pasiva celkem                                </t>
  </si>
  <si>
    <t>ř.131 až 133</t>
  </si>
  <si>
    <t>0130</t>
  </si>
  <si>
    <t xml:space="preserve">                      1.Výdaje příštích období</t>
  </si>
  <si>
    <t>383</t>
  </si>
  <si>
    <t>0131</t>
  </si>
  <si>
    <t xml:space="preserve">                      2.Výnosy příštích období</t>
  </si>
  <si>
    <t>384</t>
  </si>
  <si>
    <t>0132</t>
  </si>
  <si>
    <t xml:space="preserve">                      3.Kursové rozdíly pasivní</t>
  </si>
  <si>
    <t>387</t>
  </si>
  <si>
    <t>0133</t>
  </si>
  <si>
    <t xml:space="preserve">Pasiva celkem                                                    </t>
  </si>
  <si>
    <t>ř.86+95</t>
  </si>
  <si>
    <t>0134</t>
  </si>
  <si>
    <t>A. Náklady</t>
  </si>
  <si>
    <t xml:space="preserve">     I. Spotřebované nákupy celkem</t>
  </si>
  <si>
    <t>ř.2 až 5</t>
  </si>
  <si>
    <t xml:space="preserve">            1.Spotřeba materiálu</t>
  </si>
  <si>
    <t xml:space="preserve">            2.Spotřeba energie</t>
  </si>
  <si>
    <t xml:space="preserve">            3.Spotřeba ostatních neskladovatelných dodávek</t>
  </si>
  <si>
    <t xml:space="preserve">            4.Prodané zboží</t>
  </si>
  <si>
    <t xml:space="preserve">     II.Služby celkem</t>
  </si>
  <si>
    <t>ř.7 až 10</t>
  </si>
  <si>
    <t xml:space="preserve">            5.Opravy a udržování</t>
  </si>
  <si>
    <t xml:space="preserve">            6.Cestovné</t>
  </si>
  <si>
    <t xml:space="preserve">            7.Náklady na reprezentaci</t>
  </si>
  <si>
    <t xml:space="preserve">            8.Ostatní služby</t>
  </si>
  <si>
    <t xml:space="preserve">     III.Osobní náklady celkem</t>
  </si>
  <si>
    <t>ř.12 až 16</t>
  </si>
  <si>
    <t xml:space="preserve">            9.Mzdové náklady</t>
  </si>
  <si>
    <t>11 Lékařská fakulta</t>
  </si>
  <si>
    <t>20 Fakulta sociálních studií</t>
  </si>
  <si>
    <t>25 Filozofická fakulta</t>
  </si>
  <si>
    <t>31 Přírodovědecká fakulta</t>
  </si>
  <si>
    <t>45 Pedagogická fakulta</t>
  </si>
  <si>
    <t>50 Fakulta umění</t>
  </si>
  <si>
    <t>84 Menza</t>
  </si>
  <si>
    <t>85 Koleje</t>
  </si>
  <si>
    <t>90 Rektorát</t>
  </si>
  <si>
    <t>91 Univerzitní knihovna</t>
  </si>
  <si>
    <t>92 Centrum informačních technologií</t>
  </si>
  <si>
    <t>94 Ústav pro výzkum a aplikace fuzzy modelování</t>
  </si>
  <si>
    <t>96 Evropský výzkumný institut sociální práce</t>
  </si>
  <si>
    <t>C e l k e m HV před zdaněním</t>
  </si>
  <si>
    <t>Daň z příjmu (mínus)</t>
  </si>
  <si>
    <t>C e l k e m HV po zdanění</t>
  </si>
  <si>
    <t xml:space="preserve">            10.Zákonné sociální pojištění</t>
  </si>
  <si>
    <t xml:space="preserve">            11.Ostatní sociální pojištění</t>
  </si>
  <si>
    <t xml:space="preserve">            12.Zákonné sociální náklady</t>
  </si>
  <si>
    <t xml:space="preserve">            13.Ostatní sociální náklady</t>
  </si>
  <si>
    <t xml:space="preserve">    IV.Daně a poplatky celkem</t>
  </si>
  <si>
    <t>ř.18 až 20</t>
  </si>
  <si>
    <t xml:space="preserve">            14.Daň silniční</t>
  </si>
  <si>
    <t xml:space="preserve">            15.Daň z nemovitosti</t>
  </si>
  <si>
    <t xml:space="preserve">            16.Ostatní daně a poplatky</t>
  </si>
  <si>
    <t xml:space="preserve">    V.Ostatní náklady celkem</t>
  </si>
  <si>
    <t>ř.22 až 29</t>
  </si>
  <si>
    <t xml:space="preserve">            17.Smluvní pokuty a úroky z prodlení</t>
  </si>
  <si>
    <t xml:space="preserve">            18.Ostatní pokuty a penále</t>
  </si>
  <si>
    <t xml:space="preserve">            19.Odpis nedobytné pohledávky</t>
  </si>
  <si>
    <t xml:space="preserve">            20.Úroky</t>
  </si>
  <si>
    <t xml:space="preserve">            21.Kursové ztráty</t>
  </si>
  <si>
    <t xml:space="preserve">            22.Dary</t>
  </si>
  <si>
    <t xml:space="preserve">            23.Manka a škody</t>
  </si>
  <si>
    <t xml:space="preserve">            24.Jiné ostatní náklady</t>
  </si>
  <si>
    <t>ř.31 až 36</t>
  </si>
  <si>
    <t xml:space="preserve">            27.Prodané cenné papíry a podíly</t>
  </si>
  <si>
    <t xml:space="preserve">            28.Prodaný materiál</t>
  </si>
  <si>
    <t xml:space="preserve">            29.Tvorba rezerv</t>
  </si>
  <si>
    <t xml:space="preserve">            30.Tvorba opravných položek</t>
  </si>
  <si>
    <t xml:space="preserve">     VII.Poskytnuté příspěvky celkem</t>
  </si>
  <si>
    <t>ř.38 a 39</t>
  </si>
  <si>
    <t xml:space="preserve">            32.Poskytnuté členské příspěvky</t>
  </si>
  <si>
    <t xml:space="preserve">     VIII.Daň z příjmů celkem</t>
  </si>
  <si>
    <t>ř.41</t>
  </si>
  <si>
    <t xml:space="preserve">            33.Dodatečné odvody daně z příjmů</t>
  </si>
  <si>
    <t>Náklady celkem</t>
  </si>
  <si>
    <t xml:space="preserve">ř.1+6+11+17+21+ 30+37+40 </t>
  </si>
  <si>
    <t>B. Výnosy</t>
  </si>
  <si>
    <t xml:space="preserve">        I.Tržby za vlastní výkony a za zboží celkem</t>
  </si>
  <si>
    <t>ř.44 až 46</t>
  </si>
  <si>
    <t xml:space="preserve">             1.Tržby za vlastní výrobky</t>
  </si>
  <si>
    <t xml:space="preserve">             2.Tržby z prodeje služeb</t>
  </si>
  <si>
    <t xml:space="preserve">             3.Tržby za prodané zboží</t>
  </si>
  <si>
    <t xml:space="preserve">       II.Změny stavu vnitroorganizačních zásob celkem</t>
  </si>
  <si>
    <t>ř.48 až 51</t>
  </si>
  <si>
    <t xml:space="preserve">             4.Změna stavu zásob nedokončené výroby</t>
  </si>
  <si>
    <t xml:space="preserve">             5.Změna stavu zásob polotovarů</t>
  </si>
  <si>
    <t xml:space="preserve">             6.Změna stavu zásob výrobků</t>
  </si>
  <si>
    <t xml:space="preserve">             7.Změna stavu zvířat</t>
  </si>
  <si>
    <t xml:space="preserve">       III.Aktivace celkem</t>
  </si>
  <si>
    <t>ř.53 až 56</t>
  </si>
  <si>
    <t xml:space="preserve">             8.Aktivace materiálu a zboží</t>
  </si>
  <si>
    <t xml:space="preserve">             9.Aktivace vnitroorganizačních služeb</t>
  </si>
  <si>
    <t xml:space="preserve">             10.Aktivace dlouhodobého nehmotného majetku</t>
  </si>
  <si>
    <t xml:space="preserve">             11.Aktivace dlouhodobého hmotného majetku</t>
  </si>
  <si>
    <t xml:space="preserve">       IV.Ostatní výnosy celkem</t>
  </si>
  <si>
    <t>ř.58 až 64</t>
  </si>
  <si>
    <t xml:space="preserve">             12.Smluvní pokuty a úroky z prodlení</t>
  </si>
  <si>
    <t xml:space="preserve">             13.Ostatní pokuty a penále</t>
  </si>
  <si>
    <t xml:space="preserve">             14.Platby za odepsané pohledávky</t>
  </si>
  <si>
    <t xml:space="preserve">             15.Úroky</t>
  </si>
  <si>
    <t xml:space="preserve">             16.Kursové zisky</t>
  </si>
  <si>
    <t xml:space="preserve">             17.Zúčtování fondů</t>
  </si>
  <si>
    <t xml:space="preserve">             18.Jiné ostatní výnosy</t>
  </si>
  <si>
    <t>ř.66 až 72</t>
  </si>
  <si>
    <t xml:space="preserve">             20.Tržby z prodeje cenných papírů a podílů</t>
  </si>
  <si>
    <t xml:space="preserve">             21.Tržby z prodeje materiálu</t>
  </si>
  <si>
    <t xml:space="preserve">             22.Výnosy z krátkodobého finančního majetku</t>
  </si>
  <si>
    <t xml:space="preserve">             23.Zúčtování rezerv</t>
  </si>
  <si>
    <t xml:space="preserve">             24.Výnosy z dlouhodobého finančního majetku</t>
  </si>
  <si>
    <t xml:space="preserve">             25.Zúčtování opravných položek</t>
  </si>
  <si>
    <t xml:space="preserve">      VI.Přijaté příspěvky celkem</t>
  </si>
  <si>
    <t>ř.74 až 76</t>
  </si>
  <si>
    <t xml:space="preserve">             26.Přijaté příspěvky zúčtované mezi organizačními složkami</t>
  </si>
  <si>
    <t xml:space="preserve">             27.Přijaté příspěvky (dary)</t>
  </si>
  <si>
    <t xml:space="preserve">             28.Přijaté členské příspěvky</t>
  </si>
  <si>
    <t xml:space="preserve">      VII.Provozní dotace celkem</t>
  </si>
  <si>
    <t>ř.78</t>
  </si>
  <si>
    <t xml:space="preserve">             29.Provozní dotace</t>
  </si>
  <si>
    <t>Výnosy celkem</t>
  </si>
  <si>
    <t>C. Výsledek hospodaření před zdaněním</t>
  </si>
  <si>
    <t>ř.79 - 42</t>
  </si>
  <si>
    <t xml:space="preserve">             34.Daň z příjmů</t>
  </si>
  <si>
    <t>D. Výsledek hospodaření po zdanění</t>
  </si>
  <si>
    <t>ř.80 - 81</t>
  </si>
  <si>
    <t xml:space="preserve">     Výsledek hospodaření před zdaněním</t>
  </si>
  <si>
    <t xml:space="preserve">     Výsledek hospodaření po zdanění</t>
  </si>
  <si>
    <t>č.ř.</t>
  </si>
  <si>
    <t>použito</t>
  </si>
  <si>
    <t xml:space="preserve">v tom: </t>
  </si>
  <si>
    <t xml:space="preserve">ostatní </t>
  </si>
  <si>
    <t>ostatní</t>
  </si>
  <si>
    <t xml:space="preserve">
Název údaje</t>
  </si>
  <si>
    <t>zůstatek</t>
  </si>
  <si>
    <t>tvorba</t>
  </si>
  <si>
    <t>čerpání</t>
  </si>
  <si>
    <t xml:space="preserve">  (+)</t>
  </si>
  <si>
    <t>Fond rezervní</t>
  </si>
  <si>
    <t>Fond reprodukce investičního majetku</t>
  </si>
  <si>
    <t>Stipendijní fond</t>
  </si>
  <si>
    <t>Fond odměn</t>
  </si>
  <si>
    <t>Fond účelově určených prostředků</t>
  </si>
  <si>
    <t>Fond sociální</t>
  </si>
  <si>
    <t>Fond provozních prostředků</t>
  </si>
  <si>
    <t>z toho:</t>
  </si>
  <si>
    <t>na jednotlivé projekty VaV či výzkumné záměry</t>
  </si>
  <si>
    <t>jiné podpory z veřejných prostředků</t>
  </si>
  <si>
    <t>(tis. Kč)</t>
  </si>
  <si>
    <t>HV z hlavní činnosti</t>
  </si>
  <si>
    <t>HV z doplňkové činnosti</t>
  </si>
  <si>
    <t>HV celkem</t>
  </si>
  <si>
    <t xml:space="preserve">Celkem </t>
  </si>
  <si>
    <t>Celkem</t>
  </si>
  <si>
    <t>sl.2</t>
  </si>
  <si>
    <t>(v tis. Kč)</t>
  </si>
  <si>
    <t>Doplňková činnost</t>
  </si>
  <si>
    <t>z toho</t>
  </si>
  <si>
    <t>pozemky</t>
  </si>
  <si>
    <t>budovy, stavby, haly</t>
  </si>
  <si>
    <t>Položka</t>
  </si>
  <si>
    <t>poplatky za úkony spojené s příjímacím řízením (§ 58 odst. 1)</t>
  </si>
  <si>
    <t>poplatky za studium v cizím jazyce (§58 odst. 5)</t>
  </si>
  <si>
    <t>mzdy</t>
  </si>
  <si>
    <t>Ukazatel</t>
  </si>
  <si>
    <t>KaM</t>
  </si>
  <si>
    <t>vědečtí pracovníci</t>
  </si>
  <si>
    <t>celkem</t>
  </si>
  <si>
    <t>Stav k 1.1.</t>
  </si>
  <si>
    <t>Stav k 31.12.</t>
  </si>
  <si>
    <t>Tvorba</t>
  </si>
  <si>
    <t>ze zisku</t>
  </si>
  <si>
    <t>z fondu reprodukce inv. majetku</t>
  </si>
  <si>
    <t>z fondu odměn</t>
  </si>
  <si>
    <t>z fondu provozních prostředků</t>
  </si>
  <si>
    <t>Čerpání</t>
  </si>
  <si>
    <t>krytí ztrát minulých účetních období</t>
  </si>
  <si>
    <t>do fondu reprodukce inv. majetku</t>
  </si>
  <si>
    <t>do fondu odměn</t>
  </si>
  <si>
    <t>do fondu provozních prostředků</t>
  </si>
  <si>
    <t>z odpisů</t>
  </si>
  <si>
    <t>ze  zisku</t>
  </si>
  <si>
    <t xml:space="preserve">ze zůstatku příspěvku </t>
  </si>
  <si>
    <t xml:space="preserve">zůstat.cena nehm. a hmot.dlouhod. majektu </t>
  </si>
  <si>
    <t>Převod z fondů celkem</t>
  </si>
  <si>
    <t>v tom: z fondu odměn</t>
  </si>
  <si>
    <t xml:space="preserve">            z fondu provozních prostředků</t>
  </si>
  <si>
    <t xml:space="preserve">            z rezervního fondu</t>
  </si>
  <si>
    <t xml:space="preserve">            stroje a zařízení</t>
  </si>
  <si>
    <t xml:space="preserve">            nákupy nemovitostí</t>
  </si>
  <si>
    <t>Převod do fondů celkem</t>
  </si>
  <si>
    <t>v tom: do fondu odměn</t>
  </si>
  <si>
    <t xml:space="preserve">            do fondu provozních prostředků</t>
  </si>
  <si>
    <t xml:space="preserve">            do rezervního fondu</t>
  </si>
  <si>
    <t>daňově uznatelné výdaje podle zák. 586/1992 Sb. o daních z příjmů</t>
  </si>
  <si>
    <t xml:space="preserve">Stav k 31.12. </t>
  </si>
  <si>
    <t>z rezervního fondu</t>
  </si>
  <si>
    <t>mzdové náklady</t>
  </si>
  <si>
    <t>do rezervního fondu</t>
  </si>
  <si>
    <t>Neinvestice</t>
  </si>
  <si>
    <t>Investice</t>
  </si>
  <si>
    <t>účelově určené dary § 18 odst. 9 a) zák. č. 111/1998 Sb.</t>
  </si>
  <si>
    <t>účelově určené peněžní prostředky ze zahraničí § 18 odst. 9 b) zák. č. 111/1998 Sb.</t>
  </si>
  <si>
    <t xml:space="preserve">Tvorba </t>
  </si>
  <si>
    <t xml:space="preserve">Čerpání </t>
  </si>
  <si>
    <t>Příděl podle § 18 odst. 12 zák. č. 111/1998 Sb.</t>
  </si>
  <si>
    <t>ze zůstatku příspěvku</t>
  </si>
  <si>
    <t>na provozní náklady dle vnitřního předpisu VŠ</t>
  </si>
  <si>
    <t>a</t>
  </si>
  <si>
    <t>b</t>
  </si>
  <si>
    <t>c</t>
  </si>
  <si>
    <t>d</t>
  </si>
  <si>
    <t>e</t>
  </si>
  <si>
    <t>f</t>
  </si>
  <si>
    <t>g</t>
  </si>
  <si>
    <t>h</t>
  </si>
  <si>
    <t>i</t>
  </si>
  <si>
    <t>j</t>
  </si>
  <si>
    <t>za vynikající studijní výsledky dle § 91 odst. 2 písm. a)</t>
  </si>
  <si>
    <t>za vynikající vědecké, výzkumné, vývojové, umělecké nebo další tvůrčí výsledky přispívající k prohloubení znalostí dle § 91 odst. 2 písm. b)</t>
  </si>
  <si>
    <t>v případě tíživé sociální situace studenta dle § 91 odst. 3)</t>
  </si>
  <si>
    <t>ubytovací stipendium</t>
  </si>
  <si>
    <t>na podporu studia v zahraničí dle § 91 odst. 4 písm. a)</t>
  </si>
  <si>
    <t>SOCRATES</t>
  </si>
  <si>
    <t>CEEPUS</t>
  </si>
  <si>
    <t>na podporu studia v ČR dle § 91 odst. 4 písm. b)</t>
  </si>
  <si>
    <t>AKTION</t>
  </si>
  <si>
    <t xml:space="preserve">studentům doktorských studijních programů dle § 91 odst. 4 písm. c) </t>
  </si>
  <si>
    <t>(v tis.Kč)</t>
  </si>
  <si>
    <t>Výnosy</t>
  </si>
  <si>
    <t>v hlavní činnosti</t>
  </si>
  <si>
    <t>v doplňkové činnosti</t>
  </si>
  <si>
    <t xml:space="preserve">od studentů </t>
  </si>
  <si>
    <t>od cizích strávníků</t>
  </si>
  <si>
    <t>od cizích ubytovaných</t>
  </si>
  <si>
    <t xml:space="preserve">z dotace MŠMT </t>
  </si>
  <si>
    <t>sl. 1</t>
  </si>
  <si>
    <t>ř.80/1+80/2</t>
  </si>
  <si>
    <t>ř.82/1+82/2</t>
  </si>
  <si>
    <t>sl. 2</t>
  </si>
  <si>
    <t>Identifikační číslo EDS (ISPROFIN)</t>
  </si>
  <si>
    <t>(tis. kč)</t>
  </si>
  <si>
    <t>Hlavní   činnost</t>
  </si>
  <si>
    <t>poplatky za nadstandardní dobu studia (§58 odst. 3)</t>
  </si>
  <si>
    <t>poplatky za studium v dalším stud. programu (§58 odst. 4)</t>
  </si>
  <si>
    <t>úplata za poskytování U3V</t>
  </si>
  <si>
    <t>Investiční celkem</t>
  </si>
  <si>
    <t>účelově určené prostředky na VaV kapitoly 333-MŠMT, § 18 odst.9 c) zák. č. 111/1998 Sb.</t>
  </si>
  <si>
    <t>účelově určené prostředky z jiné podpory z veř. prostředků, § 18 odst.9 c) zák. č. 111/1998 Sb.</t>
  </si>
  <si>
    <t xml:space="preserve">Poznámky: </t>
  </si>
  <si>
    <t xml:space="preserve">                    7.Pořizovaný dlouhodobý finanční majetek</t>
  </si>
  <si>
    <t xml:space="preserve">                   15.Pohledávky z pevných termínovaných operací a opcí</t>
  </si>
  <si>
    <t xml:space="preserve">                   16.Pohledávky z vydaných dluhopisů</t>
  </si>
  <si>
    <t xml:space="preserve">                     2.Vydané dluhopisy</t>
  </si>
  <si>
    <t xml:space="preserve">                    20.Vydané krátkodobé dluhopisy</t>
  </si>
  <si>
    <r>
      <t xml:space="preserve"> Příloha č.1 k vyhlášce č. </t>
    </r>
    <r>
      <rPr>
        <b/>
        <sz val="9"/>
        <rFont val="Calibri"/>
        <family val="2"/>
        <charset val="238"/>
      </rPr>
      <t>504/2002 Sb.</t>
    </r>
    <r>
      <rPr>
        <sz val="9"/>
        <rFont val="Calibri"/>
        <family val="2"/>
        <charset val="238"/>
      </rPr>
      <t xml:space="preserve"> ve znění pozdějších předpisů</t>
    </r>
  </si>
  <si>
    <r>
      <t>Jednotlivé položky se vykazují v tis. Kč (</t>
    </r>
    <r>
      <rPr>
        <sz val="10"/>
        <rFont val="Calibri"/>
        <family val="2"/>
        <charset val="238"/>
      </rPr>
      <t>§4, odst.3</t>
    </r>
    <r>
      <rPr>
        <b/>
        <sz val="10"/>
        <rFont val="Calibri"/>
        <family val="2"/>
        <charset val="238"/>
      </rPr>
      <t>)</t>
    </r>
  </si>
  <si>
    <r>
      <t xml:space="preserve"> Příloha č.2 k vyhlášce č. </t>
    </r>
    <r>
      <rPr>
        <b/>
        <sz val="9"/>
        <rFont val="Calibri"/>
        <family val="2"/>
        <charset val="238"/>
      </rPr>
      <t>504/2002 Sb.</t>
    </r>
    <r>
      <rPr>
        <sz val="9"/>
        <rFont val="Calibri"/>
        <family val="2"/>
        <charset val="238"/>
      </rPr>
      <t xml:space="preserve"> ve znění pozdějších předpisů</t>
    </r>
  </si>
  <si>
    <r>
      <t xml:space="preserve"> Jednotlivé položky se vykazují v tis. Kč (</t>
    </r>
    <r>
      <rPr>
        <sz val="10"/>
        <rFont val="Calibri"/>
        <family val="2"/>
        <charset val="238"/>
      </rPr>
      <t>§4, odst.3</t>
    </r>
    <r>
      <rPr>
        <b/>
        <sz val="10"/>
        <rFont val="Calibri"/>
        <family val="2"/>
        <charset val="238"/>
      </rPr>
      <t>)</t>
    </r>
  </si>
  <si>
    <t xml:space="preserve">    Celkem</t>
  </si>
  <si>
    <t>k</t>
  </si>
  <si>
    <t>profesoři</t>
  </si>
  <si>
    <t>docenti</t>
  </si>
  <si>
    <t>odborní asistenti</t>
  </si>
  <si>
    <t>asistenti</t>
  </si>
  <si>
    <t>lektoři</t>
  </si>
  <si>
    <t>akademičtí pracovníci</t>
  </si>
  <si>
    <t>CELKEM</t>
  </si>
  <si>
    <t>Fondy</t>
  </si>
  <si>
    <t>bez VaV</t>
  </si>
  <si>
    <t>Operační programy EU</t>
  </si>
  <si>
    <t>Ostatní zdroje</t>
  </si>
  <si>
    <t>Počet pracovníků</t>
  </si>
  <si>
    <t>Průměrná měsíční mzda</t>
  </si>
  <si>
    <t>Kapitola 333 - MŠMT</t>
  </si>
  <si>
    <t>VZaLS</t>
  </si>
  <si>
    <t>Vysoká škola</t>
  </si>
  <si>
    <t>VaV</t>
  </si>
  <si>
    <t>VaV z ostatních zdrojů (bez operačních progr.)</t>
  </si>
  <si>
    <t>VaV ze zahraničí</t>
  </si>
  <si>
    <t>vysoká škola</t>
  </si>
  <si>
    <t>ostatní poskytovatelé</t>
  </si>
  <si>
    <t>kapitola 333 - MŠMT</t>
  </si>
  <si>
    <t>Mzdy</t>
  </si>
  <si>
    <t>ostatní zdroje rozpočtu VŠ</t>
  </si>
  <si>
    <t>Zdroj financování</t>
  </si>
  <si>
    <t>MŠMT OP VK</t>
  </si>
  <si>
    <t>MŠMT OP VaVpI</t>
  </si>
  <si>
    <t>Poznámky</t>
  </si>
  <si>
    <t>v tom</t>
  </si>
  <si>
    <t>poskytnuté</t>
  </si>
  <si>
    <t>poskytnuto</t>
  </si>
  <si>
    <t>e=a+c</t>
  </si>
  <si>
    <t>f=b+d</t>
  </si>
  <si>
    <t>MŠMT</t>
  </si>
  <si>
    <t>použité</t>
  </si>
  <si>
    <t>Výsledek hospodaření</t>
  </si>
  <si>
    <t>l=h-b</t>
  </si>
  <si>
    <t>m=k-c</t>
  </si>
  <si>
    <r>
      <t xml:space="preserve">Koleje a ostatní ubytovací zařízení provozované VVŠ </t>
    </r>
    <r>
      <rPr>
        <sz val="8"/>
        <rFont val="Calibri"/>
        <family val="2"/>
        <charset val="238"/>
      </rPr>
      <t>(1)</t>
    </r>
  </si>
  <si>
    <r>
      <rPr>
        <sz val="8"/>
        <rFont val="Calibri"/>
        <family val="2"/>
        <charset val="238"/>
      </rPr>
      <t>(1)</t>
    </r>
    <r>
      <rPr>
        <sz val="10"/>
        <rFont val="Calibri"/>
        <family val="2"/>
        <charset val="238"/>
      </rPr>
      <t xml:space="preserve"> V případě potřeby rozšířit počet řádků.</t>
    </r>
  </si>
  <si>
    <r>
      <t xml:space="preserve">Menzy a ostatní stravovací zařízení, pro která vydalo souhlas MŠMT </t>
    </r>
    <r>
      <rPr>
        <sz val="8"/>
        <rFont val="Calibri"/>
        <family val="2"/>
        <charset val="238"/>
      </rPr>
      <t>(1)</t>
    </r>
  </si>
  <si>
    <t>sl.  3</t>
  </si>
  <si>
    <t>sl. 4</t>
  </si>
  <si>
    <r>
      <t xml:space="preserve">Rozvaha (bilance) </t>
    </r>
    <r>
      <rPr>
        <sz val="8"/>
        <rFont val="Calibri"/>
        <family val="2"/>
        <charset val="238"/>
      </rPr>
      <t>(1)</t>
    </r>
  </si>
  <si>
    <r>
      <rPr>
        <sz val="8"/>
        <rFont val="Calibri"/>
        <family val="2"/>
        <charset val="238"/>
      </rPr>
      <t>(1)</t>
    </r>
    <r>
      <rPr>
        <i/>
        <sz val="10"/>
        <rFont val="Calibri"/>
        <family val="2"/>
        <charset val="238"/>
      </rPr>
      <t xml:space="preserve"> </t>
    </r>
    <r>
      <rPr>
        <sz val="10"/>
        <rFont val="Calibri"/>
        <family val="2"/>
        <charset val="238"/>
      </rPr>
      <t>Zpracování "Rozvahy" se řídí § 5 a §§ 7 až 25  Vyhlášky 504/2002 Sb.</t>
    </r>
  </si>
  <si>
    <r>
      <rPr>
        <sz val="8"/>
        <rFont val="Calibri"/>
        <family val="2"/>
        <charset val="238"/>
      </rPr>
      <t>(3)</t>
    </r>
    <r>
      <rPr>
        <sz val="10"/>
        <rFont val="Calibri"/>
        <family val="2"/>
        <charset val="238"/>
      </rPr>
      <t xml:space="preserve"> Číslování řádků a sloupců je závazné pro datové vstupní věty formátu F-JASU pro zpracování výkazů v MÚZO Praha s.r.o.</t>
    </r>
  </si>
  <si>
    <t xml:space="preserve">                     7.Závazky k institucím sociálního zabezpečení a veřejného zdravotního pojištění</t>
  </si>
  <si>
    <t>ř.43+47+52+57+65+73+77</t>
  </si>
  <si>
    <r>
      <t xml:space="preserve">Výkaz zisku a ztráty </t>
    </r>
    <r>
      <rPr>
        <sz val="8"/>
        <rFont val="Calibri"/>
        <family val="2"/>
        <charset val="238"/>
      </rPr>
      <t>(1)</t>
    </r>
  </si>
  <si>
    <r>
      <t xml:space="preserve">řádek </t>
    </r>
    <r>
      <rPr>
        <sz val="8"/>
        <rFont val="Calibri"/>
        <family val="2"/>
        <charset val="238"/>
      </rPr>
      <t>(3)</t>
    </r>
  </si>
  <si>
    <r>
      <rPr>
        <sz val="8"/>
        <rFont val="Calibri"/>
        <family val="2"/>
        <charset val="238"/>
      </rPr>
      <t>(2)</t>
    </r>
    <r>
      <rPr>
        <sz val="10"/>
        <rFont val="Calibri"/>
        <family val="2"/>
        <charset val="238"/>
      </rPr>
      <t xml:space="preserve"> Vyhláškou</t>
    </r>
    <r>
      <rPr>
        <sz val="10"/>
        <rFont val="Calibri"/>
        <family val="2"/>
        <charset val="238"/>
      </rPr>
      <t xml:space="preserve"> je dáno pouze označení a členění textů; čísla příslušných účtů jsou doplněna pro lepší orientaci ve výkazu.</t>
    </r>
  </si>
  <si>
    <t>celkem (+)</t>
  </si>
  <si>
    <t>k 31.12.</t>
  </si>
  <si>
    <t>e=a+b-d</t>
  </si>
  <si>
    <t xml:space="preserve">Fondy celkem  </t>
  </si>
  <si>
    <t>6a</t>
  </si>
  <si>
    <t>6b</t>
  </si>
  <si>
    <r>
      <t>Počet studentů</t>
    </r>
    <r>
      <rPr>
        <sz val="8"/>
        <rFont val="Calibri"/>
        <family val="2"/>
        <charset val="238"/>
      </rPr>
      <t xml:space="preserve"> (2)</t>
    </r>
  </si>
  <si>
    <r>
      <t xml:space="preserve">Stipendijní fond - tvorba </t>
    </r>
    <r>
      <rPr>
        <sz val="8"/>
        <rFont val="Calibri"/>
        <family val="2"/>
        <charset val="238"/>
      </rPr>
      <t>(1)</t>
    </r>
  </si>
  <si>
    <r>
      <t xml:space="preserve">Výnosy </t>
    </r>
    <r>
      <rPr>
        <sz val="8"/>
        <rFont val="Calibri"/>
        <family val="2"/>
        <charset val="238"/>
      </rPr>
      <t>(1)</t>
    </r>
  </si>
  <si>
    <t>Poznámka</t>
  </si>
  <si>
    <t>(1)</t>
  </si>
  <si>
    <t>STIPENDIA přiznána a vyplacena</t>
  </si>
  <si>
    <t>na výzkumnou, vývojovou a inovační činnost podle zvláštního právního předpisu, § 91 odst.2 písm. c)</t>
  </si>
  <si>
    <t>v případech zvláštního zřetele hodných dle § 91 odst. 2 písm. e)</t>
  </si>
  <si>
    <t>v případě tíživé sociální situace studenta dle § 91 odst. 2 písm. d)</t>
  </si>
  <si>
    <t>Příspěvek / dotace MŠMT</t>
  </si>
  <si>
    <t>Stipendijní fond VŠ</t>
  </si>
  <si>
    <r>
      <t xml:space="preserve">Ostatní </t>
    </r>
    <r>
      <rPr>
        <sz val="8"/>
        <rFont val="Calibri"/>
        <family val="2"/>
        <charset val="238"/>
      </rPr>
      <t>(1)</t>
    </r>
  </si>
  <si>
    <r>
      <t xml:space="preserve">Celkem vyplaceno </t>
    </r>
    <r>
      <rPr>
        <sz val="8"/>
        <rFont val="Calibri"/>
        <family val="2"/>
        <charset val="238"/>
      </rPr>
      <t>(2)</t>
    </r>
  </si>
  <si>
    <t>Studenti</t>
  </si>
  <si>
    <t>Ostatní</t>
  </si>
  <si>
    <t>jiná stipendia</t>
  </si>
  <si>
    <t>Kontrolní vazba</t>
  </si>
  <si>
    <t>Kontrolní vazby</t>
  </si>
  <si>
    <r>
      <rPr>
        <sz val="8"/>
        <rFont val="Calibri"/>
        <family val="2"/>
        <charset val="238"/>
      </rPr>
      <t>(3)</t>
    </r>
    <r>
      <rPr>
        <sz val="10"/>
        <rFont val="Calibri"/>
        <family val="2"/>
        <charset val="238"/>
      </rPr>
      <t xml:space="preserve"> Položku v každém řádku sloupce "a" nebo "b" (vždy je možná pouze jedna hodnota) vydělí VŠ počtem studentů /účastníků vzdělávání ve sloupci "c". Pokud existuje jednotková sazba, stačí zde uvést tuto. </t>
    </r>
  </si>
  <si>
    <t>1186 "F"</t>
  </si>
  <si>
    <t>1188 "F"</t>
  </si>
  <si>
    <t>1650 NIV</t>
  </si>
  <si>
    <t>PS 911 2xx</t>
  </si>
  <si>
    <t>DAL 911 2xx</t>
  </si>
  <si>
    <t>MD 911 2xx</t>
  </si>
  <si>
    <t>KS 911 2xx</t>
  </si>
  <si>
    <t>Program 133 210 Rozvoj  a obnova MTZ VVŠ</t>
  </si>
  <si>
    <t xml:space="preserve"> běžné</t>
  </si>
  <si>
    <t>kapitálové</t>
  </si>
  <si>
    <t>Ministerstvo školství, mládeže a tělovýchovy (MŠMT)</t>
  </si>
  <si>
    <t>Ministerstvo práce a sociálních věcí (MPSV)</t>
  </si>
  <si>
    <t>OP LZZ - Lidské zdroje a zaměstnanost</t>
  </si>
  <si>
    <t>PO 3 - Sociální integrace a rovné příležitosti</t>
  </si>
  <si>
    <t>PO 5 - Mezinárodní spolupráce</t>
  </si>
  <si>
    <t>5.1 Mezinárodní spolupráce</t>
  </si>
  <si>
    <t>Ministerstvo životního prostředí (MŽP)</t>
  </si>
  <si>
    <t>OP ŽP - Životní prostředí</t>
  </si>
  <si>
    <t>PO 3 - Udržitelné využívání zdrojů energie (FS)</t>
  </si>
  <si>
    <t>3.2. Realizace úspor energie a využití odpadního tepla (u nepodnikatelské sféry)</t>
  </si>
  <si>
    <t>PO 1 - Počáteční vzdělávání</t>
  </si>
  <si>
    <t>1.1. Zvyšování kvality ve vzdělávání</t>
  </si>
  <si>
    <t>1.2. Rovné příležitosti dětí a žáků, včetně dětí a žáků se speciálními vzdělávacími potřebami</t>
  </si>
  <si>
    <t>1.3. Další vzdělávání pracovníků škol a školských zařízení</t>
  </si>
  <si>
    <t>PO 3 - Další vzdělávání</t>
  </si>
  <si>
    <t>3.2 Podpora nabídky dalšího vzdělávání</t>
  </si>
  <si>
    <r>
      <t xml:space="preserve">  C  e  l  k  e  m </t>
    </r>
    <r>
      <rPr>
        <b/>
        <sz val="8"/>
        <rFont val="Calibri"/>
        <family val="2"/>
        <charset val="238"/>
      </rPr>
      <t xml:space="preserve"> (5)</t>
    </r>
  </si>
  <si>
    <t xml:space="preserve">poplatek za úkony spojené s přijetím přihlášky ke státní rigorózní zkoušce a s konáním této zkoušky (§46 odst. 5) </t>
  </si>
  <si>
    <t>úhrada za mimořádné a nadstandardní admin.úkony - úplata za náklady spojené se slavnostním ukončením studia (promoce)</t>
  </si>
  <si>
    <t>MŠMT - ostatní odbory</t>
  </si>
  <si>
    <t>úhrada za mimořádné a nadstandardní admin.úkony - úplata za vystavení duplikátů (výkazu o studiu, vysvědčení, diplomu), dodatečný zápis do AR mimo stanovený termín, apod., dodatečná změna v zápisu předmětu mimo stanovený termín</t>
  </si>
  <si>
    <t>stip.fond</t>
  </si>
  <si>
    <t>rozdíl</t>
  </si>
  <si>
    <t>3.4. Rovné příležitosti žen a mužů na trhu práce a sladění pracovního a rodinného života</t>
  </si>
  <si>
    <t>součtový řádek pro poskytovatele</t>
  </si>
  <si>
    <t>Město Třinec</t>
  </si>
  <si>
    <t>dotace NIV (= tab. 5, ř.30)</t>
  </si>
  <si>
    <t>výsledovka (=tab. 2, ř.78)</t>
  </si>
  <si>
    <t>dotace INV (=tab. 5, ř.30)</t>
  </si>
  <si>
    <t>zvláštní</t>
  </si>
  <si>
    <r>
      <t xml:space="preserve">(1) </t>
    </r>
    <r>
      <rPr>
        <sz val="8"/>
        <color indexed="10"/>
        <rFont val="Calibri"/>
        <family val="2"/>
        <charset val="238"/>
      </rPr>
      <t>DZS</t>
    </r>
  </si>
  <si>
    <t>menza Reální</t>
  </si>
  <si>
    <t>dal 911 620</t>
  </si>
  <si>
    <t>dal 911 610 (R+fakulty) + dal 911 619 (koleje)</t>
  </si>
  <si>
    <t>ostatní příjmy celkem:</t>
  </si>
  <si>
    <t xml:space="preserve">            dlouhodobý nehmotný majetek</t>
  </si>
  <si>
    <t xml:space="preserve">            umělecká díla</t>
  </si>
  <si>
    <t>účetnictví</t>
  </si>
  <si>
    <t>1650 INV</t>
  </si>
  <si>
    <t>1110 "U"</t>
  </si>
  <si>
    <t>1120 "C"</t>
  </si>
  <si>
    <t>1150 "S"</t>
  </si>
  <si>
    <t>PS 911 500</t>
  </si>
  <si>
    <t>DAL 911 500</t>
  </si>
  <si>
    <t>AÚ 648 500</t>
  </si>
  <si>
    <t>MD 911 500</t>
  </si>
  <si>
    <t>KS 911 500</t>
  </si>
  <si>
    <t>Koleje Jana Opletala</t>
  </si>
  <si>
    <t xml:space="preserve">                    13.Závazky ze vztahu k rozpočtu orgánů územních samosprávných celků</t>
  </si>
  <si>
    <t xml:space="preserve">                   13.Nároky na dotace a ostatní zúčtování s rozpočtem orgánů územních samospr. celků</t>
  </si>
  <si>
    <t xml:space="preserve">                   10.Oprávky k drobnému dlouhodobému hmotnému majetku</t>
  </si>
  <si>
    <t xml:space="preserve">                   11.Oprávky k ostatnímu dlouhodobému hmotnému majetku</t>
  </si>
  <si>
    <t xml:space="preserve">     II. Výsledek hospodaření celkem</t>
  </si>
  <si>
    <t xml:space="preserve">                    14.Závazky z upsaných nesplacených cenných papírů a podílů</t>
  </si>
  <si>
    <t xml:space="preserve">                     3.Nerozdělený zisk, neuhrazená ztráta minulých let</t>
  </si>
  <si>
    <t xml:space="preserve">                    7.Pohledávky za institucemi sociálního zabezpečení a veřejného zdrav. pojištění</t>
  </si>
  <si>
    <t>v tom: stavby</t>
  </si>
  <si>
    <t>Druh stipendia</t>
  </si>
  <si>
    <t xml:space="preserve">     VI.Odpisy, prodaný majetek, tvorba rezerv a opravných položek celkem</t>
  </si>
  <si>
    <t xml:space="preserve">            25.Odpisy dlouhodobého nehmotného a hmotného majetku</t>
  </si>
  <si>
    <t xml:space="preserve">            26.Zůstat. cena prodaného dlouh. nehmotného a hmotného majetku</t>
  </si>
  <si>
    <t xml:space="preserve">            31.Poskytnuté příspěvky zúčtované mezi organizačními složkami</t>
  </si>
  <si>
    <t xml:space="preserve">       V.Tržby z prodeje majetku, zúčtování rezerv a opravných položek celkem</t>
  </si>
  <si>
    <t xml:space="preserve">             19.Tržby z prodeje dlouh. nehmotného a hmotného majetku</t>
  </si>
  <si>
    <t>Poplatky stanovené dle § 58 zákona 111/1998 Sb.</t>
  </si>
  <si>
    <t>Pronájem</t>
  </si>
  <si>
    <t>Tržby z prodeje majetku</t>
  </si>
  <si>
    <t>Dary</t>
  </si>
  <si>
    <t>Dědictví</t>
  </si>
  <si>
    <t>Vybrané činnosti</t>
  </si>
  <si>
    <r>
      <rPr>
        <sz val="8"/>
        <color indexed="8"/>
        <rFont val="Calibri"/>
        <family val="2"/>
        <charset val="238"/>
      </rPr>
      <t>(4)</t>
    </r>
    <r>
      <rPr>
        <sz val="10"/>
        <color indexed="8"/>
        <rFont val="Calibri"/>
        <family val="2"/>
        <charset val="238"/>
      </rPr>
      <t xml:space="preserve"> </t>
    </r>
    <r>
      <rPr>
        <b/>
        <sz val="10"/>
        <color indexed="8"/>
        <rFont val="Calibri"/>
        <family val="2"/>
        <charset val="238"/>
      </rPr>
      <t>Placené vzdělávací kurzy</t>
    </r>
    <r>
      <rPr>
        <sz val="10"/>
        <color indexed="8"/>
        <rFont val="Calibri"/>
        <family val="2"/>
        <charset val="238"/>
      </rPr>
      <t xml:space="preserve"> prohlubující kvalifikaci zaměstnanců subjektů aplikační sféry (např. podnikové vzdělávací kurzy). Subjektem aplikační sféry se zde rozumí právnická osoba, jejíž hlavní činností není výzkum a vývoj. Může se jednat o podnikatelský subjekt, orgán veřejné správy, neziskovou organizace, apod. - vždy s podmínkou, že hlavní činnost není výzkumná. Výnosy budou zahrnuty z těch vzdělávacích kurzů, které jsou "na zakázku", tzn. po dohodě s danou organizací pro její zaměstnance. Nejedná se zde o vyčíslení nákladů účastníků vzdělávacích kurzů, kteří jsou zaměstnaní ve společnosti, která splňuje výše uvedenou definici. Naopak, jedná se o kurzy, jež vznikly po dohodě s vybranou společností, neboť tato chtěla školit své zaměstnance.</t>
    </r>
  </si>
  <si>
    <t>Zdroje</t>
  </si>
  <si>
    <r>
      <t xml:space="preserve">Součásti VVŠ </t>
    </r>
    <r>
      <rPr>
        <sz val="8"/>
        <rFont val="Calibri"/>
        <family val="2"/>
        <charset val="238"/>
      </rPr>
      <t>(1)</t>
    </r>
  </si>
  <si>
    <t>(1) Členění se uvádí podle § 22 odst.1 a) zákona č.111/1998 Sb. Počet řádků rozšířit dle potřeby.</t>
  </si>
  <si>
    <t>hlavní + doplňková (hospodářská) činnost</t>
  </si>
  <si>
    <r>
      <t xml:space="preserve">Průměrná částka na 1 studenta </t>
    </r>
    <r>
      <rPr>
        <sz val="8"/>
        <rFont val="Calibri"/>
        <family val="2"/>
        <charset val="238"/>
      </rPr>
      <t>(3)</t>
    </r>
  </si>
  <si>
    <r>
      <t xml:space="preserve">ostatní příjmy </t>
    </r>
    <r>
      <rPr>
        <sz val="10"/>
        <rFont val="Calibri"/>
        <family val="2"/>
        <charset val="238"/>
      </rPr>
      <t>(1)</t>
    </r>
  </si>
  <si>
    <r>
      <t xml:space="preserve">ostatní užití </t>
    </r>
    <r>
      <rPr>
        <sz val="10"/>
        <rFont val="Calibri"/>
        <family val="2"/>
        <charset val="238"/>
      </rPr>
      <t>(1)</t>
    </r>
  </si>
  <si>
    <r>
      <t xml:space="preserve">užití  </t>
    </r>
    <r>
      <rPr>
        <sz val="10"/>
        <rFont val="Calibri"/>
        <family val="2"/>
        <charset val="238"/>
      </rPr>
      <t>(1)</t>
    </r>
  </si>
  <si>
    <r>
      <t xml:space="preserve">poplatky za studium dle § 58 zákona 111/81998 Sb. </t>
    </r>
    <r>
      <rPr>
        <sz val="10"/>
        <color indexed="8"/>
        <rFont val="Calibri"/>
        <family val="2"/>
        <charset val="238"/>
      </rPr>
      <t>(1)</t>
    </r>
  </si>
  <si>
    <r>
      <t xml:space="preserve">ostatní příjmy </t>
    </r>
    <r>
      <rPr>
        <sz val="10"/>
        <color indexed="8"/>
        <rFont val="Calibri"/>
        <family val="2"/>
        <charset val="238"/>
      </rPr>
      <t>(2)</t>
    </r>
  </si>
  <si>
    <r>
      <t xml:space="preserve">Prostředky z veřejných zdrojů </t>
    </r>
    <r>
      <rPr>
        <b/>
        <sz val="10"/>
        <color indexed="8"/>
        <rFont val="Calibri"/>
        <family val="2"/>
        <charset val="238"/>
      </rPr>
      <t>běžné</t>
    </r>
  </si>
  <si>
    <r>
      <t xml:space="preserve">Prostředky z veřejných zdrojů </t>
    </r>
    <r>
      <rPr>
        <b/>
        <sz val="10"/>
        <color indexed="8"/>
        <rFont val="Calibri"/>
        <family val="2"/>
        <charset val="238"/>
      </rPr>
      <t>kapitálové</t>
    </r>
  </si>
  <si>
    <r>
      <t xml:space="preserve">Prostředky z veřejných zdrojů </t>
    </r>
    <r>
      <rPr>
        <b/>
        <sz val="10"/>
        <color indexed="8"/>
        <rFont val="Calibri"/>
        <family val="2"/>
        <charset val="238"/>
      </rPr>
      <t>celkem</t>
    </r>
  </si>
  <si>
    <t>Použité zdroje celkem</t>
  </si>
  <si>
    <t>g=e-f</t>
  </si>
  <si>
    <t>h=e-f</t>
  </si>
  <si>
    <t>PO 2 - Terciární vzdělávání, výzkum a vývoj</t>
  </si>
  <si>
    <t>2.2 Vysokoškolské vzdělávání</t>
  </si>
  <si>
    <t>2.3 Lidské zdroje ve VaV</t>
  </si>
  <si>
    <t>2.4 Partnerství a sítě</t>
  </si>
  <si>
    <t>PO 1 - Evropská centra excelence</t>
  </si>
  <si>
    <t>1.1 Evropská centra excelence</t>
  </si>
  <si>
    <t>PO 2 - Regionální VaV centra</t>
  </si>
  <si>
    <t>2.1 Regionální VaV centra</t>
  </si>
  <si>
    <t>PO 4 – Infrastruktura pro výuku na VŠ spojenou s výzkumem</t>
  </si>
  <si>
    <t>4.1 Infrastruktura pro výuku na VŠ spojenou s výzkumem</t>
  </si>
  <si>
    <t>C  e  l  k  e  m</t>
  </si>
  <si>
    <t>1.1. Zvyšování kvality ve vzdělávání v Moravskoslezském kraji</t>
  </si>
  <si>
    <t>Prostředky z veřejných zdrojů fyzicky poskytnuté na BÚ VŠ (od poskyt. +  přes spoluřeš.)</t>
  </si>
  <si>
    <t>Prostředky z veřejných zdrojů fyzicky poskytnuté na BÚ VŠ (od poskytovatele dotace)</t>
  </si>
  <si>
    <t>Prostředky z veřejných zdrojů fyzicky poskytnuté na BÚ VŠ                               (přes spoluřešitele)</t>
  </si>
  <si>
    <t xml:space="preserve">    EU - 7.RP ES pro výzkum, technologický rozvoj a ukázkové činnosti</t>
  </si>
  <si>
    <t xml:space="preserve"> +</t>
  </si>
  <si>
    <t xml:space="preserve"> -</t>
  </si>
  <si>
    <t>=</t>
  </si>
  <si>
    <t>Podle potřeby vložit další řádky</t>
  </si>
  <si>
    <t>Vratka nevyčerpaných prostředků</t>
  </si>
  <si>
    <t>Název údaje</t>
  </si>
  <si>
    <t>I. Běžné prostředky</t>
  </si>
  <si>
    <t>II. Kapitálové prostředky</t>
  </si>
  <si>
    <t>III. Celkem</t>
  </si>
  <si>
    <r>
      <t xml:space="preserve">poskytnuto </t>
    </r>
    <r>
      <rPr>
        <sz val="8"/>
        <rFont val="Calibri"/>
        <family val="2"/>
        <charset val="238"/>
      </rPr>
      <t>(2)</t>
    </r>
  </si>
  <si>
    <t>v tom:</t>
  </si>
  <si>
    <t>získané přes kapitolu MŠMT</t>
  </si>
  <si>
    <t>dotace spojené se vzdělávací činností</t>
  </si>
  <si>
    <t>dotace na VaV</t>
  </si>
  <si>
    <t xml:space="preserve">Název akce </t>
  </si>
  <si>
    <r>
      <t xml:space="preserve">Prostředky z veřejných zdrojů </t>
    </r>
    <r>
      <rPr>
        <b/>
        <sz val="10"/>
        <color indexed="8"/>
        <rFont val="Calibri"/>
        <family val="2"/>
        <charset val="238"/>
      </rPr>
      <t>celkem</t>
    </r>
    <r>
      <rPr>
        <sz val="10"/>
        <color indexed="8"/>
        <rFont val="Calibri"/>
        <family val="2"/>
        <charset val="238"/>
      </rPr>
      <t xml:space="preserve"> </t>
    </r>
  </si>
  <si>
    <t xml:space="preserve">poskytnuté </t>
  </si>
  <si>
    <t>j=f+h+i</t>
  </si>
  <si>
    <t>FRIM</t>
  </si>
  <si>
    <t>FPP</t>
  </si>
  <si>
    <t>FÚUP</t>
  </si>
  <si>
    <t>l= f+k</t>
  </si>
  <si>
    <t>C</t>
  </si>
  <si>
    <t>Stipendia pro studenty doktorských studijních programů</t>
  </si>
  <si>
    <t>D</t>
  </si>
  <si>
    <t>Zahraniční studenti a mezinárodní spolupráce</t>
  </si>
  <si>
    <t>F</t>
  </si>
  <si>
    <t>Fond vzdělávací politiky</t>
  </si>
  <si>
    <t>M</t>
  </si>
  <si>
    <t>Mimořádné aktivity</t>
  </si>
  <si>
    <t>S</t>
  </si>
  <si>
    <t>Sociální stipendia</t>
  </si>
  <si>
    <t>U</t>
  </si>
  <si>
    <t>Ubytovací stipendia</t>
  </si>
  <si>
    <t>G</t>
  </si>
  <si>
    <t>Fond rozvoje vysokých škol</t>
  </si>
  <si>
    <t>I</t>
  </si>
  <si>
    <t>J</t>
  </si>
  <si>
    <t>Dotace na ubytování a stravování</t>
  </si>
  <si>
    <t>A+B</t>
  </si>
  <si>
    <r>
      <t xml:space="preserve">Druh podpory (dotační položky a ukazatele) </t>
    </r>
    <r>
      <rPr>
        <sz val="8"/>
        <color indexed="8"/>
        <rFont val="Calibri"/>
        <family val="2"/>
        <charset val="238"/>
      </rPr>
      <t>(1)</t>
    </r>
  </si>
  <si>
    <r>
      <t>poskytnuté</t>
    </r>
    <r>
      <rPr>
        <sz val="8"/>
        <color indexed="8"/>
        <rFont val="Calibri"/>
        <family val="2"/>
        <charset val="238"/>
      </rPr>
      <t xml:space="preserve"> (2)</t>
    </r>
  </si>
  <si>
    <r>
      <t>použité</t>
    </r>
    <r>
      <rPr>
        <sz val="8"/>
        <color indexed="8"/>
        <rFont val="Calibri"/>
        <family val="2"/>
        <charset val="238"/>
      </rPr>
      <t xml:space="preserve"> (3)</t>
    </r>
  </si>
  <si>
    <t>Vratka nevyčerp. prostředků</t>
  </si>
  <si>
    <t>OON</t>
  </si>
  <si>
    <r>
      <t xml:space="preserve">Prostředky z veřejných zdrojů </t>
    </r>
    <r>
      <rPr>
        <b/>
        <sz val="10"/>
        <color indexed="8"/>
        <rFont val="Calibri"/>
        <family val="2"/>
        <charset val="238"/>
      </rPr>
      <t xml:space="preserve">běžné </t>
    </r>
    <r>
      <rPr>
        <sz val="8"/>
        <color indexed="8"/>
        <rFont val="Calibri"/>
        <family val="2"/>
        <charset val="238"/>
      </rPr>
      <t>(1)</t>
    </r>
  </si>
  <si>
    <r>
      <t xml:space="preserve">poskytnuté </t>
    </r>
    <r>
      <rPr>
        <sz val="8"/>
        <color indexed="8"/>
        <rFont val="Calibri"/>
        <family val="2"/>
        <charset val="238"/>
      </rPr>
      <t>(2)</t>
    </r>
  </si>
  <si>
    <r>
      <rPr>
        <sz val="8"/>
        <rFont val="Calibri"/>
        <family val="2"/>
        <charset val="238"/>
      </rPr>
      <t>(3)</t>
    </r>
    <r>
      <rPr>
        <sz val="10"/>
        <rFont val="Calibri"/>
        <family val="2"/>
        <charset val="238"/>
      </rPr>
      <t xml:space="preserve"> Uvedou se prostředky fondu reprodukce majetku VVŠ, případně investičního příspěvku daného roku.  Pokud v hodnotě bude investiční příspěvek obsažen, je třeba tuto skutečnost specifikovat v komentáři.</t>
    </r>
  </si>
  <si>
    <t>Územní rozpočty</t>
  </si>
  <si>
    <t>f*</t>
  </si>
  <si>
    <t>Ostatní kapitoly státního rozpočtu</t>
  </si>
  <si>
    <r>
      <t xml:space="preserve">Prostředky ze zahraničí </t>
    </r>
    <r>
      <rPr>
        <sz val="10"/>
        <color indexed="8"/>
        <rFont val="Calibri"/>
        <family val="2"/>
        <charset val="238"/>
      </rPr>
      <t>(získané přímo VVŠ)</t>
    </r>
  </si>
  <si>
    <r>
      <t xml:space="preserve">Druh podpory/název programu </t>
    </r>
    <r>
      <rPr>
        <sz val="8"/>
        <color indexed="8"/>
        <rFont val="Calibri"/>
        <family val="2"/>
        <charset val="238"/>
      </rPr>
      <t>(1)</t>
    </r>
  </si>
  <si>
    <r>
      <t xml:space="preserve">použité </t>
    </r>
    <r>
      <rPr>
        <sz val="8"/>
        <color indexed="8"/>
        <rFont val="Calibri"/>
        <family val="2"/>
        <charset val="238"/>
      </rPr>
      <t>(3)</t>
    </r>
  </si>
  <si>
    <r>
      <rPr>
        <sz val="8"/>
        <color indexed="8"/>
        <rFont val="Calibri"/>
        <family val="2"/>
        <charset val="238"/>
      </rPr>
      <t>(2)</t>
    </r>
    <r>
      <rPr>
        <sz val="10"/>
        <color indexed="8"/>
        <rFont val="Calibri"/>
        <family val="2"/>
        <charset val="238"/>
      </rPr>
      <t xml:space="preserve"> Poskytnuto: jedná se o finanční prostředky, které byly vysoké škole poskytnuty v daném kalendářním roce jako podpora VaV podle zákona 130/2002 Sb. Uvádí se ve shodě s objemem finančních prostředků uvedených v rozhodnutí (sl. a, c, e).</t>
    </r>
  </si>
  <si>
    <t>j=f+i</t>
  </si>
  <si>
    <r>
      <t>Vlastní použité</t>
    </r>
    <r>
      <rPr>
        <sz val="8"/>
        <color indexed="8"/>
        <rFont val="Calibri"/>
        <family val="2"/>
        <charset val="238"/>
      </rPr>
      <t xml:space="preserve"> (3)</t>
    </r>
  </si>
  <si>
    <r>
      <rPr>
        <sz val="8"/>
        <rFont val="Calibri"/>
        <family val="2"/>
        <charset val="238"/>
      </rPr>
      <t>(4)</t>
    </r>
    <r>
      <rPr>
        <sz val="9"/>
        <rFont val="Calibri"/>
        <family val="2"/>
        <charset val="238"/>
      </rPr>
      <t xml:space="preserve"> Uvedou se </t>
    </r>
    <r>
      <rPr>
        <sz val="10"/>
        <rFont val="Calibri"/>
        <family val="2"/>
        <charset val="238"/>
      </rPr>
      <t>prostředky nezařazené v předchozích sloupcích.</t>
    </r>
  </si>
  <si>
    <t>f**</t>
  </si>
  <si>
    <r>
      <t xml:space="preserve">Operační program/prioritní osa/oblast podpory  </t>
    </r>
    <r>
      <rPr>
        <sz val="8"/>
        <color indexed="8"/>
        <rFont val="Calibri"/>
        <family val="2"/>
        <charset val="238"/>
      </rPr>
      <t>(1)</t>
    </r>
  </si>
  <si>
    <r>
      <t xml:space="preserve">poskytnuté </t>
    </r>
    <r>
      <rPr>
        <sz val="8"/>
        <color indexed="8"/>
        <rFont val="Calibri"/>
        <family val="2"/>
        <charset val="238"/>
      </rPr>
      <t>(3)</t>
    </r>
  </si>
  <si>
    <r>
      <t xml:space="preserve">použité </t>
    </r>
    <r>
      <rPr>
        <sz val="8"/>
        <color indexed="8"/>
        <rFont val="Calibri"/>
        <family val="2"/>
        <charset val="238"/>
      </rPr>
      <t>(4)</t>
    </r>
  </si>
  <si>
    <r>
      <t>z toho zdroje EU v</t>
    </r>
    <r>
      <rPr>
        <sz val="10"/>
        <color indexed="8"/>
        <rFont val="Calibri"/>
        <family val="2"/>
        <charset val="238"/>
      </rPr>
      <t xml:space="preserve"> %</t>
    </r>
    <r>
      <rPr>
        <sz val="8"/>
        <color indexed="8"/>
        <rFont val="Calibri"/>
        <family val="2"/>
        <charset val="238"/>
      </rPr>
      <t xml:space="preserve"> (5)</t>
    </r>
  </si>
  <si>
    <r>
      <t xml:space="preserve">VaV </t>
    </r>
    <r>
      <rPr>
        <sz val="8"/>
        <color indexed="8"/>
        <rFont val="Calibri"/>
        <family val="2"/>
        <charset val="238"/>
      </rPr>
      <t>(2)</t>
    </r>
  </si>
  <si>
    <r>
      <rPr>
        <sz val="8"/>
        <color indexed="8"/>
        <rFont val="Calibri"/>
        <family val="2"/>
        <charset val="238"/>
      </rPr>
      <t>(5)</t>
    </r>
    <r>
      <rPr>
        <sz val="10"/>
        <color indexed="8"/>
        <rFont val="Calibri"/>
        <family val="2"/>
        <charset val="238"/>
      </rPr>
      <t xml:space="preserve"> Z celkových prostředků poskytnutých i použitých k financování projektů v dané kategorii se uvede procentuální podíl zdrojů pocházejících mimo veřejné rozpočty ČR - z EU; např. v případě OP VK zde bude uvedeno 85%.</t>
    </r>
  </si>
  <si>
    <r>
      <rPr>
        <sz val="8"/>
        <color indexed="8"/>
        <rFont val="Calibri"/>
        <family val="2"/>
        <charset val="238"/>
      </rPr>
      <t>(9)</t>
    </r>
    <r>
      <rPr>
        <sz val="10"/>
        <color indexed="8"/>
        <rFont val="Calibri"/>
        <family val="2"/>
        <charset val="238"/>
      </rPr>
      <t xml:space="preserve"> Uvedou se prostředky nezařazené  v předchozích sloupcích. Pokud jsou v uvedené hodnotě obsaženy i veřejné zdroje, poskytnuté škole ve sledovaném roce prostřednictvím jiného dotačního titulu,  je nutné tuto skutečnost specifikovat v komentáři.</t>
    </r>
  </si>
  <si>
    <r>
      <t>Prostředky ze zahraničí</t>
    </r>
    <r>
      <rPr>
        <b/>
        <sz val="10"/>
        <color indexed="8"/>
        <rFont val="Calibri"/>
        <family val="2"/>
        <charset val="238"/>
      </rPr>
      <t xml:space="preserve"> (získané přímo VVŠ)</t>
    </r>
  </si>
  <si>
    <r>
      <rPr>
        <sz val="8"/>
        <color indexed="8"/>
        <rFont val="Calibri"/>
        <family val="2"/>
        <charset val="238"/>
      </rPr>
      <t xml:space="preserve">(2) </t>
    </r>
    <r>
      <rPr>
        <sz val="10"/>
        <color indexed="8"/>
        <rFont val="Calibri"/>
        <family val="2"/>
        <charset val="238"/>
      </rPr>
      <t xml:space="preserve">Vysoká škola uvede pro oblast podpory financovanou z prostředků VaV dle zákona č. 130/2002 Sb. o podpoře výzkumu a vývoje zkratku VaV. </t>
    </r>
  </si>
  <si>
    <r>
      <t>VaV z národních zdrojů</t>
    </r>
    <r>
      <rPr>
        <sz val="8"/>
        <rFont val="Calibri"/>
        <family val="2"/>
        <charset val="238"/>
      </rPr>
      <t xml:space="preserve"> (2)</t>
    </r>
  </si>
  <si>
    <r>
      <t xml:space="preserve">Počet pracovníků </t>
    </r>
    <r>
      <rPr>
        <sz val="8"/>
        <rFont val="Calibri"/>
        <family val="2"/>
        <charset val="238"/>
      </rPr>
      <t>(3)</t>
    </r>
  </si>
  <si>
    <r>
      <rPr>
        <sz val="8"/>
        <color indexed="8"/>
        <rFont val="Calibri"/>
        <family val="2"/>
        <charset val="238"/>
      </rPr>
      <t>(3)</t>
    </r>
    <r>
      <rPr>
        <sz val="10"/>
        <color indexed="8"/>
        <rFont val="Calibri"/>
        <family val="2"/>
        <charset val="238"/>
      </rPr>
      <t xml:space="preserve"> Počet pracovníků = průměrný počet zaměstnanců přepočtený na plný úvazek (full-time equivalent). Zahrnuje počty zaměstnanců v jednotlivých kategoriích za celý sledovaný rok přepočtené na zaměstnance s plným pracovním úvazkem, zaokrouhlené na celé číslo.  Počet pracovníků ve sl.1 je odvozený od mzdových prostředků hrazených z kapitoly 333-MŠMT; ve sl. 4 je odvozený od mzdových prostředků hrazených z ostatních zdrojů rozpočtu VŠ.</t>
    </r>
  </si>
  <si>
    <r>
      <t xml:space="preserve">akademičtí pracovníci </t>
    </r>
    <r>
      <rPr>
        <sz val="8"/>
        <rFont val="Calibri"/>
        <family val="2"/>
        <charset val="238"/>
      </rPr>
      <t>(4)</t>
    </r>
  </si>
  <si>
    <r>
      <rPr>
        <sz val="8"/>
        <color indexed="8"/>
        <rFont val="Calibri"/>
        <family val="2"/>
        <charset val="238"/>
      </rPr>
      <t>(4)</t>
    </r>
    <r>
      <rPr>
        <sz val="10"/>
        <color indexed="8"/>
        <rFont val="Calibri"/>
        <family val="2"/>
        <charset val="238"/>
      </rPr>
      <t xml:space="preserve"> Jedná se o pracovníky vysoké školy, kteří jsou vnitřním předpisem vysoké školy zařazeni mezi akademické pracovníky. Zároveň platí, že se v rámci svého úvazku věnují pedagogické nebo vědecké činnosti; není možné mezi akademické pracovníky zařadit vědecké pracovníky, kteří na vysoké škole pouze vědecky pracují a vůbec nevyučují. Vědečtí, výzkumní a vývojoví pracovníci podílející se na pedagogické činnosti budou započteni do vyznačených kategorií akademických pracovníků.
Pokud vysoká škola v rámci svých vnitřních předpisů eviduje i jiné kategorie akademických pracovníků, doplní řádek "ostatní" a v komentáři blíže vysvětlí, o jaké pracovníky se jedná. Výčet v jednotlivých kategoriách (řádcích) akademických pracovníků se nesmí překrývat, celkový součet musí odpovídat skutečným přepočteným "full-time" akademickým pracovníkům. Celkový součet za kategorii akademických pracovníků a vědeckých pracovníků musí souhlasit s údajem vykázaným ve výroční zprávě o činnosti, tabulka 7.1.</t>
    </r>
  </si>
  <si>
    <r>
      <t xml:space="preserve">vědečtí pracovníci </t>
    </r>
    <r>
      <rPr>
        <sz val="8"/>
        <rFont val="Calibri"/>
        <family val="2"/>
        <charset val="238"/>
      </rPr>
      <t>(5)</t>
    </r>
  </si>
  <si>
    <r>
      <t xml:space="preserve">ostatní </t>
    </r>
    <r>
      <rPr>
        <sz val="8"/>
        <rFont val="Calibri"/>
        <family val="2"/>
        <charset val="238"/>
      </rPr>
      <t>(6)</t>
    </r>
  </si>
  <si>
    <r>
      <rPr>
        <sz val="8"/>
        <color indexed="8"/>
        <rFont val="Calibri"/>
        <family val="2"/>
        <charset val="238"/>
      </rPr>
      <t>(5)</t>
    </r>
    <r>
      <rPr>
        <sz val="10"/>
        <color indexed="8"/>
        <rFont val="Calibri"/>
        <family val="2"/>
        <charset val="238"/>
      </rPr>
      <t xml:space="preserve"> Jedná se o vědecké pracovníky, kteří v rámci svého úvazku na vysoké škole pouze vědecky pracují. Pedagogické činnosti se nevěnují vůbec.</t>
    </r>
  </si>
  <si>
    <r>
      <rPr>
        <sz val="8"/>
        <color indexed="8"/>
        <rFont val="Calibri"/>
        <family val="2"/>
        <charset val="238"/>
      </rPr>
      <t>(6)</t>
    </r>
    <r>
      <rPr>
        <sz val="10"/>
        <color indexed="8"/>
        <rFont val="Calibri"/>
        <family val="2"/>
        <charset val="238"/>
      </rPr>
      <t xml:space="preserve"> Úvazky pracovníků, v nichž se zaměstnanci vysoké školy nevěnují ani pedagogické ani vědecké činnosti; jde zejména o technicko- hospodářské pracovníky, provozní a obchodně provozní pracovníky, zdravotní a ostatní pracovníky, atp.</t>
    </r>
  </si>
  <si>
    <t>Tabulka 1   Rozvaha (bilance)</t>
  </si>
  <si>
    <t>Tabulka 2   Výkaz zisku a ztráty</t>
  </si>
  <si>
    <t>Tabulka 4   Přehled o peněžních tocích (výkaz cash flow)</t>
  </si>
  <si>
    <t>Tabulka 7   Příjmy z poplatků a úhrad za další činnosti poskytované veřejnou vysokou školou</t>
  </si>
  <si>
    <r>
      <t xml:space="preserve">Tabulka 10   Neinvestiční náklady a výnosy - Koleje a menzy </t>
    </r>
    <r>
      <rPr>
        <sz val="12"/>
        <rFont val="Calibri"/>
        <family val="2"/>
        <charset val="238"/>
      </rPr>
      <t>(KaM)</t>
    </r>
  </si>
  <si>
    <t>Tabulka 10.a   Neinvestiční náklady a výnosy - oblast stravování</t>
  </si>
  <si>
    <t>Tabulka 10.b   Neinvestiční náklady a výnosy - oblast ubytování</t>
  </si>
  <si>
    <r>
      <rPr>
        <sz val="8"/>
        <rFont val="Calibri"/>
        <family val="2"/>
        <charset val="238"/>
      </rPr>
      <t xml:space="preserve">(4) </t>
    </r>
    <r>
      <rPr>
        <sz val="10"/>
        <rFont val="Calibri"/>
        <family val="2"/>
        <charset val="238"/>
      </rPr>
      <t>Část tabulky Souhrn 1 a Souhrn 2 slouží k třídění údajů uvedených v předchozích řádcích tabulky 5</t>
    </r>
  </si>
  <si>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 Tab. 5, ř.9+ř.11; za dotace ostatních kapitol státního rozpočtu = Tab. 5, ř.18; za územní rozpočty = Tab. 5, ř.25; za prostředky ze zahraničí = Tab. 5, ř.28. Tabulka je tříděna podle poskytovatele, za každého poskytovatele VŠ vždy uvede součtový údaj (předpokládá se, že příspěvek poskytuje vysoké škole pouze MŠMT, v ostatních případech se bude jednat o dotaci). U každého poskytovatele pak budou uvedeny v řádcích zdroje z jednotlivých programů, které VŠ získala (nejpodrobnější údaj bude na úrovni programu, není třeba vyplňovat tabulku na úroveň projektů). </t>
    </r>
    <r>
      <rPr>
        <sz val="10"/>
        <color indexed="8"/>
        <rFont val="Calibri"/>
        <family val="2"/>
        <charset val="238"/>
      </rPr>
      <t>Pokud škola realizuje vzdělávací projekt/program financovaný pouze z neveřejných zdrojů, realizuje aktivity v rámci doplňkové činnosti za úplatu, apod., do této tabulky je uvádět v řádcích nebude.</t>
    </r>
  </si>
  <si>
    <r>
      <rPr>
        <sz val="8"/>
        <color indexed="8"/>
        <rFont val="Calibri"/>
        <family val="2"/>
        <charset val="238"/>
      </rPr>
      <t>(4)</t>
    </r>
    <r>
      <rPr>
        <sz val="10"/>
        <color indexed="8"/>
        <rFont val="Calibri"/>
        <family val="2"/>
        <charset val="238"/>
      </rPr>
      <t xml:space="preserve"> Z celkových veřejných prostředků poskytnutých i použitých k financování projektů v dané kategorii se uvede procentuální podíl zdrojů pocházejících mimo veřejné rozpočty ČR - z veřejných rozpočtu EU nebo jiných zahraničních veřejných zdrojů.</t>
    </r>
  </si>
  <si>
    <r>
      <t>z toho zdroje zahr. v</t>
    </r>
    <r>
      <rPr>
        <sz val="10"/>
        <color indexed="8"/>
        <rFont val="Calibri"/>
        <family val="2"/>
        <charset val="238"/>
      </rPr>
      <t xml:space="preserve"> %</t>
    </r>
    <r>
      <rPr>
        <sz val="8"/>
        <color indexed="8"/>
        <rFont val="Calibri"/>
        <family val="2"/>
        <charset val="238"/>
      </rPr>
      <t xml:space="preserve"> (4)</t>
    </r>
  </si>
  <si>
    <r>
      <rPr>
        <sz val="8"/>
        <rFont val="Calibri"/>
        <family val="2"/>
        <charset val="238"/>
      </rPr>
      <t xml:space="preserve">(5)  </t>
    </r>
    <r>
      <rPr>
        <sz val="10"/>
        <rFont val="Calibri"/>
        <family val="2"/>
        <charset val="238"/>
      </rPr>
      <t>Součtová hodnota této tabulky se musí rovnat údaji uvedeném v tabulce 5, ř.10.</t>
    </r>
  </si>
  <si>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t>
    </r>
    <r>
      <rPr>
        <u/>
        <sz val="10"/>
        <color indexed="8"/>
        <rFont val="Calibri"/>
        <family val="2"/>
        <charset val="238"/>
      </rPr>
      <t>v částech označených VaV</t>
    </r>
    <r>
      <rPr>
        <sz val="10"/>
        <color indexed="8"/>
        <rFont val="Calibri"/>
        <family val="2"/>
        <charset val="238"/>
      </rPr>
      <t xml:space="preserve"> = Tab. 5, ř.6; za dotace ostatních kapitol státního rozpočtu = Tab. 5, ř.16; za územní rozpočty = Tab. 5, ř.23. Součtový údaj za MŠMT</t>
    </r>
    <r>
      <rPr>
        <u/>
        <sz val="10"/>
        <color indexed="8"/>
        <rFont val="Calibri"/>
        <family val="2"/>
        <charset val="238"/>
      </rPr>
      <t xml:space="preserve"> v částech neoznačených VaV</t>
    </r>
    <r>
      <rPr>
        <sz val="10"/>
        <color indexed="8"/>
        <rFont val="Calibri"/>
        <family val="2"/>
        <charset val="238"/>
      </rPr>
      <t xml:space="preserve"> = Tab. 5, ř.5; za dotace ostatních kapitol státního rozpočtu = Tab. 5, ř.15; za územní rozpočty = Tab. 5, ř.22.
Tabulka je tříděna podle poskytovatele, dále podle operačního programu, prioritní osy, oblasti podpory (nejpodrobnější údaj bude na úrovni oblasti podpory, není třeba vyplňovat tabulku na úroveň projektů). VŠ uvede ty programy, ve kterých získává finanční prostředky (tzn. včetně IPN). Za každého poskytovatele VŠ vždy uvede součtový údaj. </t>
    </r>
  </si>
  <si>
    <r>
      <rPr>
        <sz val="8"/>
        <rFont val="Calibri"/>
        <family val="2"/>
        <charset val="238"/>
      </rPr>
      <t>(2)</t>
    </r>
    <r>
      <rPr>
        <sz val="10"/>
        <rFont val="Calibri"/>
        <family val="2"/>
        <charset val="238"/>
      </rPr>
      <t xml:space="preserve"> VŠ uvede celkovou částku, kterou vyplatila na stipendiích - odděleně pro studenty a pro ostatní účastníky vzdělávání</t>
    </r>
  </si>
  <si>
    <t>Součet hodnot sloupku "b", resp. "c"  za oblast stravování a sloupku "b", resp. "c" za oblast ubytování se rovná součtu hodnot z řádku 0042 sl. 1, resp. sl. 2 dílčího výkazu zisku a ztrát (Tab. 2) za součást školy KaM</t>
  </si>
  <si>
    <t>Součet hodnot sloupků "h", resp. "k"  za oblast stravování a sloupků "h", resp. "k" za oblast ubytování se rovná součtu hodnot z řádku 0079 sl. 1, resp. sl. 2 dílčího výkazu zisku a ztrát (Tab. 2) za součást školy KaM</t>
  </si>
  <si>
    <r>
      <t xml:space="preserve">účet / součet </t>
    </r>
    <r>
      <rPr>
        <sz val="8"/>
        <rFont val="Calibri"/>
        <family val="2"/>
        <charset val="238"/>
      </rPr>
      <t>(2)</t>
    </r>
  </si>
  <si>
    <r>
      <t>řádek</t>
    </r>
    <r>
      <rPr>
        <sz val="9"/>
        <rFont val="Calibri"/>
        <family val="2"/>
        <charset val="238"/>
      </rPr>
      <t xml:space="preserve"> </t>
    </r>
    <r>
      <rPr>
        <sz val="8"/>
        <rFont val="Calibri"/>
        <family val="2"/>
        <charset val="238"/>
      </rPr>
      <t>(3)</t>
    </r>
  </si>
  <si>
    <r>
      <t>stav k 1.1.</t>
    </r>
    <r>
      <rPr>
        <b/>
        <sz val="8"/>
        <rFont val="Calibri"/>
        <family val="2"/>
        <charset val="238"/>
      </rPr>
      <t xml:space="preserve"> </t>
    </r>
    <r>
      <rPr>
        <sz val="8"/>
        <rFont val="Calibri"/>
        <family val="2"/>
        <charset val="238"/>
      </rPr>
      <t>(4)</t>
    </r>
  </si>
  <si>
    <r>
      <t>stav k 31.12.</t>
    </r>
    <r>
      <rPr>
        <sz val="8"/>
        <rFont val="Calibri"/>
        <family val="2"/>
        <charset val="238"/>
      </rPr>
      <t>(4)</t>
    </r>
  </si>
  <si>
    <r>
      <t xml:space="preserve">hlavní činnost </t>
    </r>
    <r>
      <rPr>
        <sz val="8"/>
        <rFont val="Calibri"/>
        <family val="2"/>
        <charset val="238"/>
      </rPr>
      <t>(4)</t>
    </r>
  </si>
  <si>
    <r>
      <t xml:space="preserve">doplňková (hospodářská) činnost </t>
    </r>
    <r>
      <rPr>
        <sz val="8"/>
        <rFont val="Calibri"/>
        <family val="2"/>
        <charset val="238"/>
      </rPr>
      <t>(4)</t>
    </r>
  </si>
  <si>
    <t xml:space="preserve">       dotace spojené s programy reprodukce majetku</t>
  </si>
  <si>
    <t xml:space="preserve">       příspěvek</t>
  </si>
  <si>
    <t xml:space="preserve">       ostatní dotace</t>
  </si>
  <si>
    <r>
      <t xml:space="preserve">Prostředky z veřejných zdrojů (dotace a příspěvky) národní i zahraniční  </t>
    </r>
    <r>
      <rPr>
        <b/>
        <sz val="8"/>
        <rFont val="Calibri"/>
        <family val="2"/>
        <charset val="238"/>
      </rPr>
      <t>(ř.2+ř.27)</t>
    </r>
  </si>
  <si>
    <r>
      <t xml:space="preserve"> v tom: </t>
    </r>
    <r>
      <rPr>
        <b/>
        <sz val="10"/>
        <rFont val="Calibri"/>
        <family val="2"/>
        <charset val="238"/>
      </rPr>
      <t xml:space="preserve">1. prostředky plynoucí přes (z) veřejné rozpočty ČR   </t>
    </r>
    <r>
      <rPr>
        <b/>
        <sz val="8"/>
        <rFont val="Calibri"/>
        <family val="2"/>
        <charset val="238"/>
      </rPr>
      <t>(ř.3+ř.13+ř.20)</t>
    </r>
  </si>
  <si>
    <r>
      <t xml:space="preserve">získané přes kapitolu MŠMT  </t>
    </r>
    <r>
      <rPr>
        <sz val="8"/>
        <rFont val="Calibri"/>
        <family val="2"/>
        <charset val="238"/>
      </rPr>
      <t>(ř.4+ř.7)</t>
    </r>
  </si>
  <si>
    <r>
      <t xml:space="preserve">dotace ostatní  </t>
    </r>
    <r>
      <rPr>
        <sz val="8"/>
        <rFont val="Calibri"/>
        <family val="2"/>
        <charset val="238"/>
      </rPr>
      <t>(ř.8+ř.12)</t>
    </r>
  </si>
  <si>
    <r>
      <t xml:space="preserve">dotace spojené se vzdělávací činností  </t>
    </r>
    <r>
      <rPr>
        <sz val="8"/>
        <rFont val="Calibri"/>
        <family val="2"/>
        <charset val="238"/>
      </rPr>
      <t>(ř.9+ř.10+ř.11)</t>
    </r>
  </si>
  <si>
    <r>
      <t xml:space="preserve">získané přes ostatní kapitoly státního rozpočtu  </t>
    </r>
    <r>
      <rPr>
        <sz val="8"/>
        <rFont val="Calibri"/>
        <family val="2"/>
        <charset val="238"/>
      </rPr>
      <t>(ř.14+ř.17)</t>
    </r>
  </si>
  <si>
    <r>
      <t xml:space="preserve">dotace na operační programy EU  </t>
    </r>
    <r>
      <rPr>
        <sz val="8"/>
        <rFont val="Calibri"/>
        <family val="2"/>
        <charset val="238"/>
      </rPr>
      <t>(ř.15+ř.16)</t>
    </r>
  </si>
  <si>
    <r>
      <t xml:space="preserve">dotace ostatní  </t>
    </r>
    <r>
      <rPr>
        <sz val="8"/>
        <rFont val="Calibri"/>
        <family val="2"/>
        <charset val="238"/>
      </rPr>
      <t>(ř.18+ř.19)</t>
    </r>
  </si>
  <si>
    <r>
      <t xml:space="preserve">získané přes územní rozpočty  </t>
    </r>
    <r>
      <rPr>
        <sz val="8"/>
        <rFont val="Calibri"/>
        <family val="2"/>
        <charset val="238"/>
      </rPr>
      <t>(ř.21+ř.24)</t>
    </r>
  </si>
  <si>
    <r>
      <t xml:space="preserve">dotace na operační programy EU  </t>
    </r>
    <r>
      <rPr>
        <sz val="8"/>
        <rFont val="Calibri"/>
        <family val="2"/>
        <charset val="238"/>
      </rPr>
      <t>(ř.22+ř.23)</t>
    </r>
  </si>
  <si>
    <r>
      <t xml:space="preserve">v tom: </t>
    </r>
    <r>
      <rPr>
        <b/>
        <sz val="10"/>
        <rFont val="Calibri"/>
        <family val="2"/>
        <charset val="238"/>
      </rPr>
      <t xml:space="preserve">2. veřejné prostředky ze zahraničí </t>
    </r>
    <r>
      <rPr>
        <sz val="10"/>
        <rFont val="Calibri"/>
        <family val="2"/>
        <charset val="238"/>
      </rPr>
      <t xml:space="preserve">(získané přímo VVŠ)  </t>
    </r>
    <r>
      <rPr>
        <sz val="8"/>
        <rFont val="Calibri"/>
        <family val="2"/>
        <charset val="238"/>
      </rPr>
      <t>(ř.28+ř.29)</t>
    </r>
  </si>
  <si>
    <r>
      <t xml:space="preserve">SOUHRN 1 </t>
    </r>
    <r>
      <rPr>
        <sz val="8"/>
        <rFont val="Calibri"/>
        <family val="2"/>
        <charset val="238"/>
      </rPr>
      <t>(4)  (ř.31+ř.36)</t>
    </r>
  </si>
  <si>
    <r>
      <t xml:space="preserve">dotace spojené se vzdělávací činností  </t>
    </r>
    <r>
      <rPr>
        <sz val="8"/>
        <rFont val="Calibri"/>
        <family val="2"/>
        <charset val="238"/>
      </rPr>
      <t>(ř.32+ř.33+ř.34+ř.35)</t>
    </r>
  </si>
  <si>
    <r>
      <t xml:space="preserve">získané přes kapitolu MŠMT  </t>
    </r>
    <r>
      <rPr>
        <sz val="8"/>
        <rFont val="Calibri"/>
        <family val="2"/>
        <charset val="238"/>
      </rPr>
      <t>(ř.5+ř.8)</t>
    </r>
  </si>
  <si>
    <r>
      <t xml:space="preserve">získané přes ostatní kapitoly státního rozpočtu </t>
    </r>
    <r>
      <rPr>
        <sz val="8"/>
        <rFont val="Calibri"/>
        <family val="2"/>
        <charset val="238"/>
      </rPr>
      <t xml:space="preserve"> (ř.15+ř.18)</t>
    </r>
  </si>
  <si>
    <r>
      <t xml:space="preserve">získané přes územní rozpočty  </t>
    </r>
    <r>
      <rPr>
        <sz val="8"/>
        <rFont val="Calibri"/>
        <family val="2"/>
        <charset val="238"/>
      </rPr>
      <t xml:space="preserve"> (ř.22+ř.25)</t>
    </r>
  </si>
  <si>
    <r>
      <t xml:space="preserve">veřejné prostředky ze zahraničí (získané přímo VVŠ) </t>
    </r>
    <r>
      <rPr>
        <sz val="8"/>
        <rFont val="Calibri"/>
        <family val="2"/>
        <charset val="238"/>
      </rPr>
      <t xml:space="preserve"> (ř.28)</t>
    </r>
  </si>
  <si>
    <r>
      <t xml:space="preserve">dotace na VaV  </t>
    </r>
    <r>
      <rPr>
        <sz val="8"/>
        <rFont val="Calibri"/>
        <family val="2"/>
        <charset val="238"/>
      </rPr>
      <t>(ř.37+ř.38+ř.39+ř.40)</t>
    </r>
  </si>
  <si>
    <r>
      <t xml:space="preserve">získané přes kapitolu MŠMT  </t>
    </r>
    <r>
      <rPr>
        <sz val="8"/>
        <rFont val="Calibri"/>
        <family val="2"/>
        <charset val="238"/>
      </rPr>
      <t>(ř.6+ř.12)</t>
    </r>
  </si>
  <si>
    <r>
      <t xml:space="preserve">získané přes ostatní kapitoly státního rozpočtu  </t>
    </r>
    <r>
      <rPr>
        <sz val="8"/>
        <rFont val="Calibri"/>
        <family val="2"/>
        <charset val="238"/>
      </rPr>
      <t>(ř.16+ř.19)</t>
    </r>
  </si>
  <si>
    <r>
      <t xml:space="preserve">získané přes územní rozpočty </t>
    </r>
    <r>
      <rPr>
        <sz val="8"/>
        <rFont val="Calibri"/>
        <family val="2"/>
        <charset val="238"/>
      </rPr>
      <t>(ř.23+ř.26)</t>
    </r>
  </si>
  <si>
    <r>
      <t xml:space="preserve">veřejné prostředky ze zahraničí (získané přímo VVŠ) </t>
    </r>
    <r>
      <rPr>
        <sz val="8"/>
        <rFont val="Calibri"/>
        <family val="2"/>
        <charset val="238"/>
      </rPr>
      <t>(ř.29)</t>
    </r>
  </si>
  <si>
    <r>
      <t xml:space="preserve">SOUHRN 2  </t>
    </r>
    <r>
      <rPr>
        <b/>
        <sz val="8"/>
        <rFont val="Calibri"/>
        <family val="2"/>
        <charset val="238"/>
      </rPr>
      <t>(ř.42+ř.46)</t>
    </r>
  </si>
  <si>
    <r>
      <t xml:space="preserve">dotace spojené se vzdělávací činností  </t>
    </r>
    <r>
      <rPr>
        <sz val="8"/>
        <rFont val="Calibri"/>
        <family val="2"/>
        <charset val="238"/>
      </rPr>
      <t>(ř.43+ř.44+ř.45)</t>
    </r>
  </si>
  <si>
    <r>
      <t xml:space="preserve">dotace ostatní  </t>
    </r>
    <r>
      <rPr>
        <sz val="8"/>
        <rFont val="Calibri"/>
        <family val="2"/>
        <charset val="238"/>
      </rPr>
      <t>(ř.8+ř.18+ř.25)</t>
    </r>
  </si>
  <si>
    <r>
      <t xml:space="preserve">veřejné prostředky ze zahraničí (získané přímo VVŠ)  </t>
    </r>
    <r>
      <rPr>
        <sz val="8"/>
        <rFont val="Calibri"/>
        <family val="2"/>
        <charset val="238"/>
      </rPr>
      <t>(ř.28)</t>
    </r>
  </si>
  <si>
    <r>
      <t xml:space="preserve">dotace na VaV </t>
    </r>
    <r>
      <rPr>
        <sz val="8"/>
        <rFont val="Calibri"/>
        <family val="2"/>
        <charset val="238"/>
      </rPr>
      <t xml:space="preserve"> (ř.47+ř.48+ř.49)</t>
    </r>
  </si>
  <si>
    <r>
      <t xml:space="preserve">dotace ostatní </t>
    </r>
    <r>
      <rPr>
        <sz val="8"/>
        <rFont val="Calibri"/>
        <family val="2"/>
        <charset val="238"/>
      </rPr>
      <t xml:space="preserve"> (ř.12+ř.19+ř.26)</t>
    </r>
  </si>
  <si>
    <r>
      <t xml:space="preserve">veřejné prostředky ze zahraničí (získané přímo VVŠ)   </t>
    </r>
    <r>
      <rPr>
        <sz val="8"/>
        <rFont val="Calibri"/>
        <family val="2"/>
        <charset val="238"/>
      </rPr>
      <t>(ř.29)</t>
    </r>
  </si>
  <si>
    <t>j=e-f</t>
  </si>
  <si>
    <r>
      <t>Ostatní použité neveřejné zdroje celkem</t>
    </r>
    <r>
      <rPr>
        <sz val="8"/>
        <color indexed="8"/>
        <rFont val="Calibri"/>
        <family val="2"/>
        <charset val="238"/>
      </rPr>
      <t xml:space="preserve"> (4)</t>
    </r>
  </si>
  <si>
    <r>
      <rPr>
        <sz val="8"/>
        <color indexed="8"/>
        <rFont val="Calibri"/>
        <family val="2"/>
        <charset val="238"/>
      </rPr>
      <t>(3)</t>
    </r>
    <r>
      <rPr>
        <sz val="10"/>
        <color indexed="8"/>
        <rFont val="Calibri"/>
        <family val="2"/>
        <charset val="238"/>
      </rPr>
      <t xml:space="preserve"> Použito: jedná se o finanční prostředky, které VŠ v daném kalendářním roce použila na účel v souladu s rozhodnutím (sloupec b, d, f). Pokud by škola používala veřejné prostředky institucionálního charakteru (např. příspěvek) k dofinancování programů/aktivit uvedených v dalších řádcích této tabulky nebo projektů zde neuvedených, takové použití pro jiný účel financovaný z veřejných zdrojů je nutné specifikovat v komentáři.</t>
    </r>
  </si>
  <si>
    <r>
      <rPr>
        <sz val="8"/>
        <color indexed="8"/>
        <rFont val="Calibri"/>
        <family val="2"/>
        <charset val="238"/>
      </rPr>
      <t>(3)</t>
    </r>
    <r>
      <rPr>
        <sz val="10"/>
        <color indexed="8"/>
        <rFont val="Calibri"/>
        <family val="2"/>
        <charset val="238"/>
      </rPr>
      <t xml:space="preserve"> Použito: jedná se o finanční prostředky, které VŠ v daném kalendářním roce použila na účel v souladu s rozhodnutím (sloupec b, d, f). Pokud by škola používala veřejné prostředky institucionálního charakteru (např. IP na rozvoj VO) k dofinancování programů/aktivit uvedených v dalších řádcích této tabulky nebo projektů zde neuvedených, takové použití pro jiný účel financovaný z veřejných zdrojů je nutné specifikovat v komentáři.</t>
    </r>
  </si>
  <si>
    <r>
      <t xml:space="preserve">Ostatní použ. neveřejné zdroje celkem </t>
    </r>
    <r>
      <rPr>
        <sz val="8"/>
        <color indexed="8"/>
        <rFont val="Calibri"/>
        <family val="2"/>
        <charset val="238"/>
      </rPr>
      <t>(9)</t>
    </r>
  </si>
  <si>
    <t>d=a+b+c</t>
  </si>
  <si>
    <r>
      <t xml:space="preserve">od zaměst-  nanců </t>
    </r>
    <r>
      <rPr>
        <sz val="8"/>
        <rFont val="Calibri"/>
        <family val="2"/>
        <charset val="238"/>
      </rPr>
      <t>(2)</t>
    </r>
  </si>
  <si>
    <r>
      <t xml:space="preserve">ostatní </t>
    </r>
    <r>
      <rPr>
        <sz val="8"/>
        <rFont val="Calibri"/>
        <family val="2"/>
        <charset val="238"/>
      </rPr>
      <t>(3)</t>
    </r>
  </si>
  <si>
    <r>
      <rPr>
        <sz val="8"/>
        <rFont val="Calibri"/>
        <family val="2"/>
        <charset val="238"/>
      </rPr>
      <t>(3)</t>
    </r>
    <r>
      <rPr>
        <sz val="10"/>
        <rFont val="Calibri"/>
        <family val="2"/>
        <charset val="238"/>
      </rPr>
      <t xml:space="preserve"> V případě získání prostředků na činnost v oblasti ubytování z jiných veřejných zdrojů než prostředků kap. 333, VŠ uvede tuto skutečnost do sl "g" a pod tabulkou stručně upřesní, o co se jedná.</t>
    </r>
  </si>
  <si>
    <r>
      <rPr>
        <sz val="8"/>
        <rFont val="Calibri"/>
        <family val="2"/>
        <charset val="238"/>
      </rPr>
      <t>(2)</t>
    </r>
    <r>
      <rPr>
        <sz val="10"/>
        <rFont val="Calibri"/>
        <family val="2"/>
        <charset val="238"/>
      </rPr>
      <t xml:space="preserve"> V případě, že výnosy od zaměstnnanců škola vede v doplňkové činnosti, zahrne tyto prostředky do sl. "j"a výši těchto výnosů konkrétně uvede v komentáři</t>
    </r>
  </si>
  <si>
    <r>
      <rPr>
        <sz val="8"/>
        <rFont val="Calibri"/>
        <family val="2"/>
        <charset val="238"/>
      </rPr>
      <t>(3)</t>
    </r>
    <r>
      <rPr>
        <sz val="10"/>
        <rFont val="Calibri"/>
        <family val="2"/>
        <charset val="238"/>
      </rPr>
      <t xml:space="preserve"> V případě získání prostředků na činnost v oblasti stravování z jiných veřejných zdrojů než prostředků kap. 333, VŠ uvede tuto skutečnost do sl "f" a pod tabulkou stručně upřesní, o co se jedná.</t>
    </r>
  </si>
  <si>
    <r>
      <rPr>
        <sz val="8"/>
        <rFont val="Calibri"/>
        <family val="2"/>
        <charset val="238"/>
      </rPr>
      <t>(1)</t>
    </r>
    <r>
      <rPr>
        <sz val="10"/>
        <rFont val="Calibri"/>
        <family val="2"/>
        <charset val="238"/>
      </rPr>
      <t xml:space="preserve"> Jedná se o poplatky definované v odst. 3 a 4 - § 58 zákona č. 111/1998 Sb.</t>
    </r>
  </si>
  <si>
    <r>
      <t xml:space="preserve">Úhrada za další činnosti poskytované vysokou školou </t>
    </r>
    <r>
      <rPr>
        <sz val="8"/>
        <rFont val="Calibri"/>
        <family val="2"/>
        <charset val="238"/>
      </rPr>
      <t>(4) (5)</t>
    </r>
  </si>
  <si>
    <t>(4) Jedná se o činnosti související se studiem jiné než podle § 58 zák.111/1998 Sb.</t>
  </si>
  <si>
    <r>
      <rPr>
        <sz val="8"/>
        <rFont val="Calibri"/>
        <family val="2"/>
        <charset val="238"/>
      </rPr>
      <t xml:space="preserve">(5) </t>
    </r>
    <r>
      <rPr>
        <sz val="10"/>
        <rFont val="Calibri"/>
        <family val="2"/>
        <charset val="238"/>
      </rPr>
      <t>VŠ vloží řádky dle potřeby. Může se jednat např. o úhradu nákladů spojených se zakončením studia, cizojazyčné potvrzení o studiu, duplikát výkazu o studium, dodatečný zápis, atp.</t>
    </r>
  </si>
  <si>
    <t xml:space="preserve">     součtový řádek pro poskytovatele</t>
  </si>
  <si>
    <t xml:space="preserve">          Příspěvek</t>
  </si>
  <si>
    <t xml:space="preserve">          Dotace</t>
  </si>
  <si>
    <t xml:space="preserve">     Institucionální podpora (IP)</t>
  </si>
  <si>
    <t xml:space="preserve">     IP na mezinárodní spolupráci ČR ve VaV</t>
  </si>
  <si>
    <t xml:space="preserve">     GAČR</t>
  </si>
  <si>
    <t xml:space="preserve">     TAČR</t>
  </si>
  <si>
    <t xml:space="preserve">     IP na dlouh. koncepční rozvoj výzk. organizací</t>
  </si>
  <si>
    <t xml:space="preserve">     OP VK -Vzdělávání pro konkurenceschopnost</t>
  </si>
  <si>
    <r>
      <rPr>
        <sz val="8"/>
        <color indexed="8"/>
        <rFont val="Calibri"/>
        <family val="2"/>
        <charset val="238"/>
      </rPr>
      <t>(2)</t>
    </r>
    <r>
      <rPr>
        <sz val="10"/>
        <color indexed="8"/>
        <rFont val="Calibri"/>
        <family val="2"/>
        <charset val="238"/>
      </rPr>
      <t xml:space="preserve"> Obsahuje prostředky z GA ČR, TA ČR, ministerstev a dalších národních zdrojů (bez operačních programů EU).</t>
    </r>
  </si>
  <si>
    <t>3=sl.2/12/sl.1</t>
  </si>
  <si>
    <t>6=sl.5/12     /sl.4</t>
  </si>
  <si>
    <t>9=sl.8/12   /sl.7</t>
  </si>
  <si>
    <r>
      <rPr>
        <sz val="8"/>
        <rFont val="Calibri"/>
        <family val="2"/>
        <charset val="238"/>
      </rPr>
      <t>(1)</t>
    </r>
    <r>
      <rPr>
        <sz val="10"/>
        <rFont val="Calibri"/>
        <family val="2"/>
        <charset val="238"/>
      </rPr>
      <t xml:space="preserve"> Tato tabulka zahrnuje všechny veřejné zdroje vysoké školy, tedy včetně finančních prostředků souvisejících s hospodařením Kolejí a menz (KaM) a Vysokoškolských zemědělských a lesních statků (VZaLS).</t>
    </r>
  </si>
  <si>
    <t>j= f+i</t>
  </si>
  <si>
    <r>
      <rPr>
        <sz val="8"/>
        <rFont val="Calibri"/>
        <family val="2"/>
        <charset val="238"/>
      </rPr>
      <t>(2)</t>
    </r>
    <r>
      <rPr>
        <sz val="10"/>
        <rFont val="Calibri"/>
        <family val="2"/>
        <charset val="238"/>
      </rPr>
      <t xml:space="preserve"> Jedná se o finanční prostředky poskytnuté  vysoké škole rozhodnutím (sloupec 1, 3, 5) a použité na určitý účel v souladu s rozhodnutím (sloupec 2, 4, 6). 
</t>
    </r>
    <r>
      <rPr>
        <u/>
        <sz val="10"/>
        <rFont val="Calibri"/>
        <family val="2"/>
        <charset val="238"/>
      </rPr>
      <t>Poskytnuto</t>
    </r>
    <r>
      <rPr>
        <sz val="10"/>
        <rFont val="Calibri"/>
        <family val="2"/>
        <charset val="238"/>
      </rPr>
      <t xml:space="preserve">: jedná se o finanční prostředky, které vysoká škola v daném kalendářním roce získala na základě rozhodnutí. </t>
    </r>
    <r>
      <rPr>
        <u/>
        <sz val="10"/>
        <rFont val="Calibri"/>
        <family val="2"/>
        <charset val="238"/>
      </rPr>
      <t>Použito</t>
    </r>
    <r>
      <rPr>
        <sz val="10"/>
        <rFont val="Calibri"/>
        <family val="2"/>
        <charset val="238"/>
      </rPr>
      <t>: jedná se o finanční prostředky, které VŠ v daném kalendářním roce použila na účel v souladu s rozhodnutím.</t>
    </r>
  </si>
  <si>
    <r>
      <t xml:space="preserve">dotace na programy strukturálních fondů </t>
    </r>
    <r>
      <rPr>
        <sz val="8"/>
        <rFont val="Calibri"/>
        <family val="2"/>
        <charset val="238"/>
      </rPr>
      <t xml:space="preserve">(3) </t>
    </r>
    <r>
      <rPr>
        <sz val="8"/>
        <rFont val="Calibri"/>
        <family val="2"/>
        <charset val="238"/>
      </rPr>
      <t xml:space="preserve"> (ř.5+ř.6)</t>
    </r>
  </si>
  <si>
    <r>
      <t xml:space="preserve">dotace na programy strukturálních fondů </t>
    </r>
    <r>
      <rPr>
        <sz val="8"/>
        <rFont val="Calibri"/>
        <family val="2"/>
        <charset val="238"/>
      </rPr>
      <t>(ř.5+ř.15+ř.22)</t>
    </r>
  </si>
  <si>
    <r>
      <t>dotace na programy strukturálních fondů</t>
    </r>
    <r>
      <rPr>
        <sz val="8"/>
        <rFont val="Calibri"/>
        <family val="2"/>
        <charset val="238"/>
      </rPr>
      <t xml:space="preserve">  (ř.6+ř.16+ř.23)</t>
    </r>
  </si>
  <si>
    <r>
      <rPr>
        <sz val="8"/>
        <rFont val="Calibri"/>
        <family val="2"/>
        <charset val="238"/>
      </rPr>
      <t>(3)</t>
    </r>
    <r>
      <rPr>
        <sz val="10"/>
        <rFont val="Calibri"/>
        <family val="2"/>
        <charset val="238"/>
      </rPr>
      <t xml:space="preserve"> Jedná se o veřejné prostředky na financování projektů strukturálních fondů, zahranuje všechny veřejné prostředky (jak evropskou, tak českou část spolufinancování).</t>
    </r>
  </si>
  <si>
    <t>sl. "a" Celkem = vazba na stipendijní fond (Tab. 11.c)</t>
  </si>
  <si>
    <r>
      <rPr>
        <sz val="8"/>
        <rFont val="Calibri"/>
        <family val="2"/>
        <charset val="238"/>
      </rPr>
      <t>(2)</t>
    </r>
    <r>
      <rPr>
        <sz val="10"/>
        <rFont val="Calibri"/>
        <family val="2"/>
        <charset val="238"/>
      </rPr>
      <t xml:space="preserve"> VŠ uvede počet studentů (resp. studií) nebo dalších účastníků vzdělávání, kteří poplatek/úhradu za další činosti zaplatili.</t>
    </r>
  </si>
  <si>
    <t xml:space="preserve"> sl. "b" Celkem = poplatky zaúčtované ve výnosech.</t>
  </si>
  <si>
    <r>
      <rPr>
        <sz val="8"/>
        <rFont val="Calibri"/>
        <family val="2"/>
        <charset val="238"/>
      </rPr>
      <t>(1)</t>
    </r>
    <r>
      <rPr>
        <sz val="10"/>
        <rFont val="Calibri"/>
        <family val="2"/>
        <charset val="238"/>
      </rPr>
      <t xml:space="preserve"> VŠ uvede celkovou částku v tis. Kč, kterou na daném typu poplatku / úhradou za další činnosti poskytované veřejnou vysokou školou přijala od studentů/dalších účastníků vzdělávání v daném kalendářním roce.  </t>
    </r>
  </si>
  <si>
    <r>
      <rPr>
        <sz val="8"/>
        <rFont val="Calibri"/>
        <family val="2"/>
        <charset val="238"/>
      </rPr>
      <t>(1)</t>
    </r>
    <r>
      <rPr>
        <sz val="10"/>
        <rFont val="Calibri"/>
        <family val="2"/>
        <charset val="238"/>
      </rPr>
      <t xml:space="preserve"> VŠ uvede, jaké další zdroje použila k financování stipendií. </t>
    </r>
  </si>
  <si>
    <r>
      <t>z toho převody do FÚUP</t>
    </r>
    <r>
      <rPr>
        <sz val="8"/>
        <color indexed="8"/>
        <rFont val="Calibri"/>
        <family val="2"/>
        <charset val="238"/>
      </rPr>
      <t xml:space="preserve"> (6)</t>
    </r>
  </si>
  <si>
    <t xml:space="preserve">     IP na uskutečňování výzkumných záměrů</t>
  </si>
  <si>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 Tab. 5, ř.12; za dotace ostatních kapitol státního rozpočtu = Tab. 5, ř.19; za územní rozpočty = Tab. 5, ř.26; za prostředky ze zahraničí = Tab. 5, ř.29. Tabulka je tříděna podle poskytovatele, dále podle institucionální a účelové podpory a dále podle jednotlivých programů (nejpodrobnější údaj bude na úrovni programu, není třeba vyplňovat tabulku na úroveň projektů). VŠ uvede pouze ty programy, ve kterých získává finanční prostředky. Za každého poskytovatele VŠ vždy uvede součtový údaj. Pokud škola realizuje výzkumný projekt/program financovaný pouze z neveřejných zdrojů, realizuje aktivity v rámci doplňkové činnosti za úplatu, spoluřeší projekty, apod., do této tabulky je uvádět v řádcích nebude.</t>
    </r>
  </si>
  <si>
    <r>
      <rPr>
        <sz val="8"/>
        <color indexed="8"/>
        <rFont val="Calibri"/>
        <family val="2"/>
        <charset val="238"/>
      </rPr>
      <t>(5)</t>
    </r>
    <r>
      <rPr>
        <sz val="10"/>
        <color indexed="8"/>
        <rFont val="Calibri"/>
        <family val="2"/>
        <charset val="238"/>
      </rPr>
      <t xml:space="preserve"> Uvedou se prostředky, které byly převedeny k řešení projektů/aktivit ostatním spoluřešitelům.</t>
    </r>
  </si>
  <si>
    <r>
      <rPr>
        <sz val="8"/>
        <color indexed="8"/>
        <rFont val="Calibri"/>
        <family val="2"/>
        <charset val="238"/>
      </rPr>
      <t>(6)</t>
    </r>
    <r>
      <rPr>
        <sz val="10"/>
        <color indexed="8"/>
        <rFont val="Calibri"/>
        <family val="2"/>
        <charset val="238"/>
      </rPr>
      <t xml:space="preserve"> Fond účelově určených prostředků (§ 18, odst. 6 zákona o VŠ). Jedná se o finanční prostředky, které nebyly v daném kalendářním roce použity, ale byly převedeny do FÚUP. Jsou součástí "použitých" prostředků uvedených v této tabulce.</t>
    </r>
  </si>
  <si>
    <r>
      <rPr>
        <sz val="8"/>
        <color indexed="8"/>
        <rFont val="Calibri"/>
        <family val="2"/>
        <charset val="238"/>
      </rPr>
      <t>(8)</t>
    </r>
    <r>
      <rPr>
        <sz val="10"/>
        <color indexed="8"/>
        <rFont val="Calibri"/>
        <family val="2"/>
        <charset val="238"/>
      </rPr>
      <t xml:space="preserve"> VŠ uvede v členění dle povahy poskytovaných prostředků.</t>
    </r>
  </si>
  <si>
    <t xml:space="preserve">  (bez prostředků poskytovaných na programové financování, na operační programy a VaV)</t>
  </si>
  <si>
    <t xml:space="preserve">               (bez prostředků poskytovaných na operační programy EU) </t>
  </si>
  <si>
    <r>
      <t xml:space="preserve">dotace ostatní  </t>
    </r>
    <r>
      <rPr>
        <sz val="8"/>
        <rFont val="Calibri"/>
        <family val="2"/>
        <charset val="238"/>
      </rPr>
      <t>(ř.25+ř.26)</t>
    </r>
  </si>
  <si>
    <r>
      <t xml:space="preserve">Ostatní použité neveřejné zdroje </t>
    </r>
    <r>
      <rPr>
        <sz val="8"/>
        <color indexed="8"/>
        <rFont val="Calibri"/>
        <family val="2"/>
        <charset val="238"/>
      </rPr>
      <t>(7)</t>
    </r>
  </si>
  <si>
    <r>
      <rPr>
        <sz val="8"/>
        <color indexed="8"/>
        <rFont val="Calibri"/>
        <family val="2"/>
        <charset val="238"/>
      </rPr>
      <t>(2)</t>
    </r>
    <r>
      <rPr>
        <sz val="10"/>
        <color indexed="8"/>
        <rFont val="Calibri"/>
        <family val="2"/>
        <charset val="238"/>
      </rPr>
      <t xml:space="preserve"> Poskytnuto: jedná se o finanční prostředky, které byly vysoké škole poskytnuty v daném kalendářním roce na základě rozhodnutí (sloupec a, c, e). </t>
    </r>
  </si>
  <si>
    <r>
      <rPr>
        <sz val="8"/>
        <color indexed="8"/>
        <rFont val="Calibri"/>
        <family val="2"/>
        <charset val="238"/>
      </rPr>
      <t>(7)</t>
    </r>
    <r>
      <rPr>
        <sz val="10"/>
        <color indexed="8"/>
        <rFont val="Calibri"/>
        <family val="2"/>
        <charset val="238"/>
      </rPr>
      <t xml:space="preserve"> Sloupec "i" uvádí "ostatní použité neveřejné zdroje celkem" a obsahuje prostředky na dofinancování programů/aktivit uvedených v jednotlivých řádcích (a to z neveřejných zdrojů). </t>
    </r>
  </si>
  <si>
    <r>
      <t xml:space="preserve">Nevyčerp. z poskyt. veřejných prostředků v roce </t>
    </r>
    <r>
      <rPr>
        <sz val="8"/>
        <color indexed="8"/>
        <rFont val="Calibri"/>
        <family val="2"/>
        <charset val="238"/>
      </rPr>
      <t>(7)</t>
    </r>
  </si>
  <si>
    <r>
      <t xml:space="preserve">Vratka nevyčerp. prostředků  </t>
    </r>
    <r>
      <rPr>
        <sz val="8"/>
        <color indexed="8"/>
        <rFont val="Calibri"/>
        <family val="2"/>
        <charset val="238"/>
      </rPr>
      <t>(8)</t>
    </r>
  </si>
  <si>
    <r>
      <rPr>
        <sz val="8"/>
        <color indexed="8"/>
        <rFont val="Calibri"/>
        <family val="2"/>
        <charset val="238"/>
      </rPr>
      <t>(7)</t>
    </r>
    <r>
      <rPr>
        <sz val="10"/>
        <color indexed="8"/>
        <rFont val="Calibri"/>
        <family val="2"/>
        <charset val="238"/>
      </rPr>
      <t xml:space="preserve"> Lze vyplnit, pokud se nejedná o poslední rok projektu.</t>
    </r>
  </si>
  <si>
    <r>
      <rPr>
        <sz val="8"/>
        <rFont val="Calibri"/>
        <family val="2"/>
        <charset val="238"/>
      </rPr>
      <t>(8)</t>
    </r>
    <r>
      <rPr>
        <sz val="10"/>
        <rFont val="Calibri"/>
        <family val="2"/>
        <charset val="238"/>
      </rPr>
      <t xml:space="preserve"> Lze vyplnit pouze v posledním roce projektu nebo při předčasném ukončení projektu. Jedná se o souhrnný údaj za všechny roky trvání projektu.</t>
    </r>
  </si>
  <si>
    <r>
      <rPr>
        <sz val="8"/>
        <color indexed="8"/>
        <rFont val="Calibri"/>
        <family val="2"/>
        <charset val="238"/>
      </rPr>
      <t>(6)</t>
    </r>
    <r>
      <rPr>
        <sz val="10"/>
        <color indexed="8"/>
        <rFont val="Calibri"/>
        <family val="2"/>
        <charset val="238"/>
      </rPr>
      <t xml:space="preserve"> Uvedou se prostředky, které byly převedeny k řešení projektů/aktivit ostatním spoluřešitelům.</t>
    </r>
  </si>
  <si>
    <t xml:space="preserve">Struktura celkového CASH FLOW                      </t>
  </si>
  <si>
    <t>Minulé období</t>
  </si>
  <si>
    <t>Běžné období</t>
  </si>
  <si>
    <t>Rozdíl</t>
  </si>
  <si>
    <t>Vliv na CF</t>
  </si>
  <si>
    <t xml:space="preserve">Hospodářský výsledek bežného roku                  </t>
  </si>
  <si>
    <t>001</t>
  </si>
  <si>
    <t xml:space="preserve">Odpisy dlohodobého majetku                         </t>
  </si>
  <si>
    <t>002</t>
  </si>
  <si>
    <t xml:space="preserve">Rezervy řízené předpisy                            </t>
  </si>
  <si>
    <t>003</t>
  </si>
  <si>
    <t xml:space="preserve">Přechodné účty pasivní                             </t>
  </si>
  <si>
    <t>004</t>
  </si>
  <si>
    <t xml:space="preserve">     Výdaje příštích období                        </t>
  </si>
  <si>
    <t>005</t>
  </si>
  <si>
    <t xml:space="preserve">     Výnosy příštích období                        </t>
  </si>
  <si>
    <t>006</t>
  </si>
  <si>
    <t xml:space="preserve">     Kursové rozdíly pasivní                       </t>
  </si>
  <si>
    <t>007</t>
  </si>
  <si>
    <t xml:space="preserve">     Dohadné účty pasivní                          </t>
  </si>
  <si>
    <t>008</t>
  </si>
  <si>
    <t xml:space="preserve">Přechodné účty aktivní                             </t>
  </si>
  <si>
    <t>009</t>
  </si>
  <si>
    <t xml:space="preserve">     Náklady příštích období                       </t>
  </si>
  <si>
    <t>010</t>
  </si>
  <si>
    <t xml:space="preserve">     Příjmy příštích období                        </t>
  </si>
  <si>
    <t>011</t>
  </si>
  <si>
    <t xml:space="preserve">     Kursové rozdíly aktivní                       </t>
  </si>
  <si>
    <t xml:space="preserve">     Dohadné účty aktivní                          </t>
  </si>
  <si>
    <t xml:space="preserve">Pohledávky celkem                                  </t>
  </si>
  <si>
    <t>zdroj</t>
  </si>
  <si>
    <t>Studijní programy a s nimi spojená tvůrčí činnost</t>
  </si>
  <si>
    <t xml:space="preserve">    Ministerstvo kultury</t>
  </si>
  <si>
    <t>Moravskoslezský kraj</t>
  </si>
  <si>
    <t>Statutární město Ostrava</t>
  </si>
  <si>
    <t xml:space="preserve">     Účelová podpora (ÚP)</t>
  </si>
  <si>
    <t xml:space="preserve">     ÚP - základní výzkum</t>
  </si>
  <si>
    <t xml:space="preserve">     ÚP - aplikovaný výzkum</t>
  </si>
  <si>
    <t xml:space="preserve">     ÚP - specifický vysokoškolský výzkum</t>
  </si>
  <si>
    <t xml:space="preserve">     ÚP - velké infrastruktury</t>
  </si>
  <si>
    <t xml:space="preserve">    Ministerstvo zdravotnictví</t>
  </si>
  <si>
    <t xml:space="preserve">    AV ČR</t>
  </si>
  <si>
    <t xml:space="preserve">     Z obchodního styku                            </t>
  </si>
  <si>
    <t>015</t>
  </si>
  <si>
    <t>dle účetnictví</t>
  </si>
  <si>
    <t>KS 911 6xx</t>
  </si>
  <si>
    <t>PS 911 6xx</t>
  </si>
  <si>
    <t xml:space="preserve">     K účastníkům sdružení                         </t>
  </si>
  <si>
    <t>016</t>
  </si>
  <si>
    <t xml:space="preserve">     Za institucemi soc. zabezp. a zdravot. pojištění </t>
  </si>
  <si>
    <t>017</t>
  </si>
  <si>
    <t xml:space="preserve">     Daň z příjmu                                  </t>
  </si>
  <si>
    <t xml:space="preserve">     Ostatní přímé daně                            </t>
  </si>
  <si>
    <t xml:space="preserve">     Daň z přidané hodnoty                         </t>
  </si>
  <si>
    <t>020</t>
  </si>
  <si>
    <t xml:space="preserve">     Ostatní daně a poplatky                       </t>
  </si>
  <si>
    <t xml:space="preserve">     Ze vztahu ke statnímu rozpočtu                </t>
  </si>
  <si>
    <t xml:space="preserve">     Ze vztahu k rozpočtu organů ÚSC               </t>
  </si>
  <si>
    <t>023</t>
  </si>
  <si>
    <t xml:space="preserve">     Za zaměstnanci                                </t>
  </si>
  <si>
    <t>024</t>
  </si>
  <si>
    <t xml:space="preserve">     Z emitovaných dluhopisů a jiné pohledávky    </t>
  </si>
  <si>
    <t xml:space="preserve">     Opravná položka k pohledávkám                 </t>
  </si>
  <si>
    <t xml:space="preserve">Ceniny                                            </t>
  </si>
  <si>
    <t>027</t>
  </si>
  <si>
    <t xml:space="preserve">Majetkové cenné papíry                             </t>
  </si>
  <si>
    <t xml:space="preserve">Dlužné cenné pap. a vlastní dluhopisy              </t>
  </si>
  <si>
    <t>Ostatní cenné papíry a pořízení krátkodob. finan. majetku</t>
  </si>
  <si>
    <t>030</t>
  </si>
  <si>
    <t xml:space="preserve">Zásoby celkem                                      </t>
  </si>
  <si>
    <t xml:space="preserve">     Materiál na skladě a na cestě                 </t>
  </si>
  <si>
    <t xml:space="preserve">     Nedokončená výroba a polotovary vlastní výroby     </t>
  </si>
  <si>
    <t>033</t>
  </si>
  <si>
    <t xml:space="preserve">     Výrobky                                       </t>
  </si>
  <si>
    <t>034</t>
  </si>
  <si>
    <t xml:space="preserve">     Zvířata                                       </t>
  </si>
  <si>
    <t>035</t>
  </si>
  <si>
    <t xml:space="preserve">     Zboží na skladě a na cestě                    </t>
  </si>
  <si>
    <t>036</t>
  </si>
  <si>
    <t xml:space="preserve">     Poskytnuté zálohy na zásoby                   </t>
  </si>
  <si>
    <t>037</t>
  </si>
  <si>
    <t xml:space="preserve">Krátkodobé závazky                                 </t>
  </si>
  <si>
    <t>038</t>
  </si>
  <si>
    <t xml:space="preserve">     Dodavatelé                                    </t>
  </si>
  <si>
    <t>039</t>
  </si>
  <si>
    <t xml:space="preserve">     Směnky k úhradě                               </t>
  </si>
  <si>
    <t>040</t>
  </si>
  <si>
    <t xml:space="preserve">     Přijaté zálohy                                </t>
  </si>
  <si>
    <t xml:space="preserve">     Ostatní závazky                               </t>
  </si>
  <si>
    <t xml:space="preserve">     Zaměstnanci                                   </t>
  </si>
  <si>
    <t xml:space="preserve">     Ostatní závazky vůči zaměstnancům             </t>
  </si>
  <si>
    <t>044</t>
  </si>
  <si>
    <t xml:space="preserve">     K institucím soc. zabezp. a zdravot. Pojištění</t>
  </si>
  <si>
    <t>045</t>
  </si>
  <si>
    <t>046</t>
  </si>
  <si>
    <t xml:space="preserve">     Ostatní přímé daně                       </t>
  </si>
  <si>
    <t>047</t>
  </si>
  <si>
    <t>048</t>
  </si>
  <si>
    <t>049</t>
  </si>
  <si>
    <t xml:space="preserve">     Ze vztahu ke státnímu rozpočtu                </t>
  </si>
  <si>
    <t>050</t>
  </si>
  <si>
    <t xml:space="preserve">     Ze vztahu k rozpočtu ÚSC                      </t>
  </si>
  <si>
    <t xml:space="preserve">     Jiné závazky                                  </t>
  </si>
  <si>
    <t>053</t>
  </si>
  <si>
    <t xml:space="preserve">Krátkodobé bankovní úvěry                          </t>
  </si>
  <si>
    <t>054</t>
  </si>
  <si>
    <t xml:space="preserve">Přijaté finanční výpomoci                          </t>
  </si>
  <si>
    <t>055</t>
  </si>
  <si>
    <t xml:space="preserve">Cash flow provozní                                 </t>
  </si>
  <si>
    <t>056</t>
  </si>
  <si>
    <t xml:space="preserve">Nehmotný dlouhodobý majetek                        </t>
  </si>
  <si>
    <t>057</t>
  </si>
  <si>
    <t xml:space="preserve">     Nehmotné výsledky výzkumu a vývoje            </t>
  </si>
  <si>
    <t>058</t>
  </si>
  <si>
    <t xml:space="preserve">     Software                                      </t>
  </si>
  <si>
    <t>059</t>
  </si>
  <si>
    <t xml:space="preserve">     Předměty ocenitelných práv                    </t>
  </si>
  <si>
    <t>060</t>
  </si>
  <si>
    <t xml:space="preserve">     Drobný  dlouhodobý nehmotný majetek           </t>
  </si>
  <si>
    <t xml:space="preserve">     Ostatní  dlouhodobý nehmotný majetek          </t>
  </si>
  <si>
    <t xml:space="preserve">     Nedokončené nehmotné investice                </t>
  </si>
  <si>
    <t xml:space="preserve">     Poskytnuté zálohy na nehmot. dlouhod. majetek      </t>
  </si>
  <si>
    <t>064</t>
  </si>
  <si>
    <t xml:space="preserve">Oprávky celkem                                     </t>
  </si>
  <si>
    <t>065</t>
  </si>
  <si>
    <t xml:space="preserve">     K nehmotným výsledkům výzkumné činnosti         </t>
  </si>
  <si>
    <t xml:space="preserve">     K softwaru                                    </t>
  </si>
  <si>
    <t xml:space="preserve">     K předmětům ocenitelných práv                 </t>
  </si>
  <si>
    <t>068</t>
  </si>
  <si>
    <t xml:space="preserve">     K drobnému nehmot. dlouhodobému majetku   </t>
  </si>
  <si>
    <t xml:space="preserve">     K ostatnímu nehmot. dlouhodobému majetku</t>
  </si>
  <si>
    <t>070</t>
  </si>
  <si>
    <t xml:space="preserve">Hmotný dlouhodobý majetek                          </t>
  </si>
  <si>
    <t>071</t>
  </si>
  <si>
    <t xml:space="preserve">     Pozemky                                       </t>
  </si>
  <si>
    <t xml:space="preserve">     Umělecká díla a sbírky                        </t>
  </si>
  <si>
    <t xml:space="preserve">     Stavby                                        </t>
  </si>
  <si>
    <t xml:space="preserve">     Samostatné movité věci a soubory movité věcí     </t>
  </si>
  <si>
    <t>075</t>
  </si>
  <si>
    <t xml:space="preserve">     Pěstitelské celky trvalých porostů            </t>
  </si>
  <si>
    <t>076</t>
  </si>
  <si>
    <t xml:space="preserve">     Základní stádo a tažná zvířata                </t>
  </si>
  <si>
    <t>077</t>
  </si>
  <si>
    <t xml:space="preserve">     Drobný hmotný dlouhodobý majetek              </t>
  </si>
  <si>
    <t xml:space="preserve">     Ostatní hmotný dlouhodobý majetek</t>
  </si>
  <si>
    <t xml:space="preserve">     Nedokončené hmotné investice                  </t>
  </si>
  <si>
    <t>080</t>
  </si>
  <si>
    <t xml:space="preserve">     Poskytnuté zálohy na hmotný dlouhodobý majetek</t>
  </si>
  <si>
    <t xml:space="preserve">     Ke stavbám                                    </t>
  </si>
  <si>
    <t>083</t>
  </si>
  <si>
    <t xml:space="preserve">     K movitým věcem a souborům movitých věcí           </t>
  </si>
  <si>
    <t>084</t>
  </si>
  <si>
    <t xml:space="preserve">     K pěstitelským celkům trvalých porostů        </t>
  </si>
  <si>
    <t xml:space="preserve">     K zakladnímu stádu a tažným zvířatům          </t>
  </si>
  <si>
    <t xml:space="preserve">     K drobnému hmotnému dlouhodobému majetku      </t>
  </si>
  <si>
    <t>087</t>
  </si>
  <si>
    <t xml:space="preserve">     K ostatnímu hmotnému dlouhodobému majetku     </t>
  </si>
  <si>
    <t xml:space="preserve">Korekce vyloučením odpisů                          </t>
  </si>
  <si>
    <t xml:space="preserve">Dlouhodobý finanční majetek                        </t>
  </si>
  <si>
    <t>090</t>
  </si>
  <si>
    <t xml:space="preserve">     Podíl. cennné papíry a vklady - rozhodný vliv        </t>
  </si>
  <si>
    <t>091</t>
  </si>
  <si>
    <t xml:space="preserve">     Podíl. cenné papíry a vklady - podstatný vliv      </t>
  </si>
  <si>
    <t>092</t>
  </si>
  <si>
    <t xml:space="preserve">     Ostatní dlouhodobé cenné papíry a vklady      </t>
  </si>
  <si>
    <t>093</t>
  </si>
  <si>
    <t xml:space="preserve">     Půjčky podnikům ve skupině                    </t>
  </si>
  <si>
    <t>094</t>
  </si>
  <si>
    <t xml:space="preserve">     Ostatní dlouhodobý finanční majetek           </t>
  </si>
  <si>
    <t>095</t>
  </si>
  <si>
    <t xml:space="preserve">Cash flow z investiční činnosti                    </t>
  </si>
  <si>
    <t>096</t>
  </si>
  <si>
    <t xml:space="preserve">Dlouhodobé závazky celkem                          </t>
  </si>
  <si>
    <t>097</t>
  </si>
  <si>
    <t xml:space="preserve">     Emitované dluhopisy                           </t>
  </si>
  <si>
    <t>098</t>
  </si>
  <si>
    <t xml:space="preserve">     Závazky z pronájmu                            </t>
  </si>
  <si>
    <t>099</t>
  </si>
  <si>
    <t xml:space="preserve">     Dlouhodobě přijaté zálohy                     </t>
  </si>
  <si>
    <t xml:space="preserve">     Dlouhodobě směnky k úhradě                    </t>
  </si>
  <si>
    <t xml:space="preserve">     Ostatní dlouhodobé závazky                    </t>
  </si>
  <si>
    <t xml:space="preserve">Dlouhodobé bankovní úvěry                          </t>
  </si>
  <si>
    <t xml:space="preserve">Vlastní jmění                                      </t>
  </si>
  <si>
    <t xml:space="preserve">Fondy                                              </t>
  </si>
  <si>
    <t xml:space="preserve">Oceňovací rozdíly z přecenění majetku a závazků    </t>
  </si>
  <si>
    <t xml:space="preserve">Nerozděl. zisk, neuhraz. ztráta minulých let            </t>
  </si>
  <si>
    <t xml:space="preserve">Hospodářský výsledek ve schvalovacím řízení        </t>
  </si>
  <si>
    <t xml:space="preserve">Korekce snížením disponibilního zisku běžného roku </t>
  </si>
  <si>
    <t xml:space="preserve">Cash flow z finanční činnosti                      </t>
  </si>
  <si>
    <t xml:space="preserve">Cash flow celkové                                  </t>
  </si>
  <si>
    <t xml:space="preserve">Stav peněžních prostředků                          </t>
  </si>
  <si>
    <r>
      <rPr>
        <sz val="8"/>
        <color indexed="8"/>
        <rFont val="Calibri"/>
        <family val="2"/>
        <charset val="238"/>
      </rPr>
      <t>(4)</t>
    </r>
    <r>
      <rPr>
        <sz val="10"/>
        <color indexed="8"/>
        <rFont val="Calibri"/>
        <family val="2"/>
        <charset val="238"/>
      </rPr>
      <t xml:space="preserve"> Fond reprodukce investičního majetku (FRIM), fond provozních prostředků (FPP), fond účelově určených prostředků(FÚUP), § 18, odst. 6 zákona o VŠ. Jedná se o finanční prostředky, které nebyly v daném kalendářním roce použity, ale byly převedeny do fondů - jsou součástí "použitých" prostředků uvedených v této tabulce (sl. b, d, f).</t>
    </r>
  </si>
  <si>
    <r>
      <t xml:space="preserve">Ostatní použité neveřej. zdroje </t>
    </r>
    <r>
      <rPr>
        <sz val="8"/>
        <color indexed="8"/>
        <rFont val="Calibri"/>
        <family val="2"/>
        <charset val="238"/>
      </rPr>
      <t>(5)</t>
    </r>
  </si>
  <si>
    <r>
      <rPr>
        <sz val="8"/>
        <color indexed="8"/>
        <rFont val="Calibri"/>
        <family val="2"/>
        <charset val="238"/>
      </rPr>
      <t xml:space="preserve">(5) </t>
    </r>
    <r>
      <rPr>
        <sz val="10"/>
        <color indexed="8"/>
        <rFont val="Calibri"/>
        <family val="2"/>
        <charset val="238"/>
      </rPr>
      <t xml:space="preserve">Sloupec "k" uvádí "ostatní použité neveřejné zdroje celkem" a obsahuje prostředky na dofinancování programů/aktivit uvedených v jednotlivých řádcích (a to pouze z neveřejných zdrojů). </t>
    </r>
  </si>
  <si>
    <r>
      <t xml:space="preserve">Převody do fondů </t>
    </r>
    <r>
      <rPr>
        <sz val="8"/>
        <color indexed="8"/>
        <rFont val="Calibri"/>
        <family val="2"/>
        <charset val="238"/>
      </rPr>
      <t>(4)</t>
    </r>
  </si>
  <si>
    <r>
      <t>z toho zajištěno spoluřešit.</t>
    </r>
    <r>
      <rPr>
        <sz val="8"/>
        <color indexed="8"/>
        <rFont val="Calibri"/>
        <family val="2"/>
        <charset val="238"/>
      </rPr>
      <t xml:space="preserve"> (5)</t>
    </r>
  </si>
  <si>
    <r>
      <t>z toho zajištěno spoluřešit.</t>
    </r>
    <r>
      <rPr>
        <sz val="8"/>
        <color indexed="8"/>
        <rFont val="Calibri"/>
        <family val="2"/>
        <charset val="238"/>
      </rPr>
      <t xml:space="preserve"> (6)</t>
    </r>
  </si>
  <si>
    <t>příjmy z prodeje nehm. a hmot.dlouhod.majetku</t>
  </si>
  <si>
    <r>
      <t>Neinvestiční celkem</t>
    </r>
    <r>
      <rPr>
        <sz val="8"/>
        <rFont val="Calibri"/>
        <family val="2"/>
        <charset val="238"/>
      </rPr>
      <t xml:space="preserve"> (1)</t>
    </r>
  </si>
  <si>
    <r>
      <t xml:space="preserve">Transfer znalostí </t>
    </r>
    <r>
      <rPr>
        <sz val="8"/>
        <rFont val="Calibri"/>
        <family val="2"/>
        <charset val="238"/>
      </rPr>
      <t>(1)</t>
    </r>
  </si>
  <si>
    <r>
      <t xml:space="preserve">Příjmy z licenčních smluv </t>
    </r>
    <r>
      <rPr>
        <sz val="8"/>
        <rFont val="Calibri"/>
        <family val="2"/>
        <charset val="238"/>
      </rPr>
      <t>(2)</t>
    </r>
  </si>
  <si>
    <r>
      <t xml:space="preserve">Příjmy ze smluvního výzkumu </t>
    </r>
    <r>
      <rPr>
        <sz val="8"/>
        <rFont val="Calibri"/>
        <family val="2"/>
        <charset val="238"/>
      </rPr>
      <t>(3)</t>
    </r>
  </si>
  <si>
    <r>
      <t xml:space="preserve">Placené vzdělávací kurzy pro zaměstnance subjektů aplikační sféry </t>
    </r>
    <r>
      <rPr>
        <sz val="8"/>
        <rFont val="Calibri"/>
        <family val="2"/>
        <charset val="238"/>
      </rPr>
      <t>(4)</t>
    </r>
  </si>
  <si>
    <r>
      <t xml:space="preserve">Konzultace a poradenství </t>
    </r>
    <r>
      <rPr>
        <sz val="8"/>
        <rFont val="Calibri"/>
        <family val="2"/>
        <charset val="238"/>
      </rPr>
      <t>(5)</t>
    </r>
  </si>
  <si>
    <r>
      <rPr>
        <sz val="8"/>
        <color indexed="8"/>
        <rFont val="Calibri"/>
        <family val="2"/>
        <charset val="238"/>
      </rPr>
      <t>(2)</t>
    </r>
    <r>
      <rPr>
        <sz val="10"/>
        <color indexed="8"/>
        <rFont val="Calibri"/>
        <family val="2"/>
        <charset val="238"/>
      </rPr>
      <t xml:space="preserve"> </t>
    </r>
    <r>
      <rPr>
        <b/>
        <sz val="10"/>
        <color indexed="8"/>
        <rFont val="Calibri"/>
        <family val="2"/>
        <charset val="238"/>
      </rPr>
      <t>Licenční smlouva</t>
    </r>
    <r>
      <rPr>
        <sz val="10"/>
        <color indexed="8"/>
        <rFont val="Calibri"/>
        <family val="2"/>
        <charset val="238"/>
      </rPr>
      <t xml:space="preserve"> je</t>
    </r>
    <r>
      <rPr>
        <sz val="10"/>
        <color indexed="8"/>
        <rFont val="Calibri"/>
        <family val="2"/>
        <charset val="238"/>
      </rPr>
      <t xml:space="preserve"> definována jako poskytnutí práva ve sjednaném rozsahu a na sjednaném území na nabytí či poskytnutí licence na některou z ochran duševního a průmyslového vlastnictví. Licenční smlouvy se uzavírají k patentovaným vynálezům, resp. zapsaným užitným vzorům, průmyslovým vzorům, topografii polovodičových výrobků, novým odrůdám rostlin a plemenům zvířat či k ochranným známkám písemnou smlouvou. Poskytovatel opravňuje nabyvatele ve sjednaném rozsahu a na sjednaném území k výkonu práv z duševního a průmyslového vlastnictví a nabyvatel se zavazuje k poskytování určité úplaty (licenční poplatky) nebo jiné majetkové hodnoty. Nabyvateli přitom nehrozí obvinění z narušení duševního vlastnictví či autorského práva ze strany poskytovatele.</t>
    </r>
  </si>
  <si>
    <r>
      <rPr>
        <sz val="8"/>
        <color indexed="8"/>
        <rFont val="Calibri"/>
        <family val="2"/>
        <charset val="238"/>
      </rPr>
      <t>(3)</t>
    </r>
    <r>
      <rPr>
        <sz val="10"/>
        <color indexed="8"/>
        <rFont val="Calibri"/>
        <family val="2"/>
        <charset val="238"/>
      </rPr>
      <t xml:space="preserve"> </t>
    </r>
    <r>
      <rPr>
        <b/>
        <sz val="10"/>
        <color indexed="8"/>
        <rFont val="Calibri"/>
        <family val="2"/>
        <charset val="238"/>
      </rPr>
      <t>Smluvní výzkum</t>
    </r>
    <r>
      <rPr>
        <sz val="10"/>
        <color indexed="8"/>
        <rFont val="Calibri"/>
        <family val="2"/>
        <charset val="238"/>
      </rPr>
      <t xml:space="preserve"> je výzkum na zakázku, který vychází ze spolupráce (interakce) specificky plnící především výzkumné potřeby subjektů aplikační sféry a vysokoškolská instituce je pro subjekt aplikační sféry realizuje dle jeho požadavků a potřeb výzkum, na který jsou jí tímto subjektem poskytovány finanční prostředky. Typicky zahrnuje rozsáhlejší projekty, originální výzkum a psaný report. Obvykle bývá výzkum na zakázku zadán jednou konkrétní externí organizací (pro její potřebu). Není rozhodující, zda finanční prostředky, které subjekt aplikační sféry na takový smluvní výzkum vynaložil, pochází z veřejných či soukromých zdrojů. Za smluvní výzkum nelze považovat případ, kdy je vysoká škola příjemcem účelové podpory na aplikovaný výzkum.</t>
    </r>
  </si>
  <si>
    <r>
      <rPr>
        <sz val="8"/>
        <rFont val="Calibri"/>
        <family val="2"/>
        <charset val="238"/>
      </rPr>
      <t>(4)</t>
    </r>
    <r>
      <rPr>
        <sz val="10"/>
        <rFont val="Calibri"/>
        <family val="2"/>
        <charset val="238"/>
      </rPr>
      <t xml:space="preserve"> Údaje se vyplňují  zaokrouhlené na celé tisíce bez desetinných míst.</t>
    </r>
  </si>
  <si>
    <r>
      <rPr>
        <sz val="8"/>
        <color indexed="8"/>
        <rFont val="Calibri"/>
        <family val="2"/>
        <charset val="238"/>
      </rPr>
      <t>(5)</t>
    </r>
    <r>
      <rPr>
        <b/>
        <sz val="10"/>
        <color indexed="8"/>
        <rFont val="Calibri"/>
        <family val="2"/>
        <charset val="238"/>
      </rPr>
      <t xml:space="preserve"> Konzultace a poradenství </t>
    </r>
    <r>
      <rPr>
        <sz val="10"/>
        <color indexed="8"/>
        <rFont val="Calibri"/>
        <family val="2"/>
        <charset val="238"/>
      </rPr>
      <t>je založeno na poskytnutí expertní rady, názoru či činnosti, jenž závisí na vysoké míře intelektuálních vstupních zdrojů od vysokoškolské instituce ke klientovi. Vysoká škola za úplatu a v souladu s tržními podmínkami poskytuje konzultační a poradenské služby subjektům aplikační sféry. Hlavním požadovaným výstupem konzultace není vytvoření nové znalosti (vědomosti), ale porozumění nebo pochopení určitého stavu.</t>
    </r>
  </si>
  <si>
    <r>
      <t xml:space="preserve">prostory </t>
    </r>
    <r>
      <rPr>
        <sz val="8"/>
        <rFont val="Calibri"/>
        <family val="2"/>
        <charset val="238"/>
      </rPr>
      <t>(7)</t>
    </r>
  </si>
  <si>
    <r>
      <rPr>
        <sz val="8"/>
        <color indexed="8"/>
        <rFont val="Calibri"/>
        <family val="2"/>
        <charset val="238"/>
      </rPr>
      <t>(7)</t>
    </r>
    <r>
      <rPr>
        <sz val="10"/>
        <color indexed="8"/>
        <rFont val="Calibri"/>
        <family val="2"/>
        <charset val="238"/>
      </rPr>
      <t xml:space="preserve"> Do řádku</t>
    </r>
    <r>
      <rPr>
        <b/>
        <sz val="10"/>
        <color indexed="8"/>
        <rFont val="Calibri"/>
        <family val="2"/>
        <charset val="238"/>
      </rPr>
      <t xml:space="preserve"> "Prostory" </t>
    </r>
    <r>
      <rPr>
        <sz val="10"/>
        <color indexed="8"/>
        <rFont val="Calibri"/>
        <family val="2"/>
        <charset val="238"/>
      </rPr>
      <t>se doplní výnosy z nájmů, pokud se nejedná o celé budovy, stavby nebo haly.</t>
    </r>
  </si>
  <si>
    <r>
      <rPr>
        <sz val="8"/>
        <color indexed="8"/>
        <rFont val="Calibri"/>
        <family val="2"/>
        <charset val="238"/>
      </rPr>
      <t>(1)</t>
    </r>
    <r>
      <rPr>
        <sz val="10"/>
        <color indexed="8"/>
        <rFont val="Calibri"/>
        <family val="2"/>
        <charset val="238"/>
      </rPr>
      <t xml:space="preserve"> Mzdy = plnění poskytované za vykonanou práci či v přímé souvislosti s prací poskytovanou na základě pracovního poměru, a to bez sociálního a zdravotního pojištění, které odvádí zaměstnavatel; OON obsahuje pouze platby za provedenou práci (DPP, DPČ), neobsahuje sociální a zdravotní pojištění, které odvádí zaměstnavatel.</t>
    </r>
  </si>
  <si>
    <t>A</t>
  </si>
  <si>
    <t>A.1</t>
  </si>
  <si>
    <t>A.2</t>
  </si>
  <si>
    <t>A.3</t>
  </si>
  <si>
    <t>A.4</t>
  </si>
  <si>
    <t>B</t>
  </si>
  <si>
    <t>C.1</t>
  </si>
  <si>
    <t>C.2</t>
  </si>
  <si>
    <t>C.3</t>
  </si>
  <si>
    <t>C.4</t>
  </si>
  <si>
    <t>D.3</t>
  </si>
  <si>
    <t>D.1</t>
  </si>
  <si>
    <t>D.2</t>
  </si>
  <si>
    <t>E</t>
  </si>
  <si>
    <r>
      <t xml:space="preserve">Tržby  za vlastní služby </t>
    </r>
    <r>
      <rPr>
        <sz val="8"/>
        <rFont val="Calibri"/>
        <family val="2"/>
        <charset val="238"/>
      </rPr>
      <t>(6)</t>
    </r>
  </si>
  <si>
    <t xml:space="preserve">     OP VaVpI - Výzkum a vývoj pro inovace</t>
  </si>
  <si>
    <t xml:space="preserve">, </t>
  </si>
  <si>
    <t>v tištěné podobě VZoH  +/-1 zaokrouhlení</t>
  </si>
  <si>
    <t xml:space="preserve">program NT - Resortní program výzkumu a vývoje Ministerstva zdravotnictví III (2010-2015)
(OU - hlavní příjemce dotace       </t>
  </si>
  <si>
    <t xml:space="preserve">program NT - Resortní program výzkumu a vývoje Ministerstva zdravotnictví III (2010-2015)
(OU - spolupříjemce dotace   </t>
  </si>
  <si>
    <t>účto opsat AÚ 549921</t>
  </si>
  <si>
    <t>zajištěno spoluřešitelem (= tab. 5d, sloupec f**) pouze NIV</t>
  </si>
  <si>
    <t xml:space="preserve">    Ministersterstvo kultury - kulturní aktivity</t>
  </si>
  <si>
    <t>1610 INV</t>
  </si>
  <si>
    <t>1610 NIV</t>
  </si>
  <si>
    <t>buňky se zaokrouhlením</t>
  </si>
  <si>
    <t>+</t>
  </si>
  <si>
    <t>zajištěno spoluřešitelem (= tab. 5d, sloupec f**) pouze INV</t>
  </si>
  <si>
    <t>celkem DAL 901 903</t>
  </si>
  <si>
    <t>celkem užití INV dotace OU</t>
  </si>
  <si>
    <t>kontrola "použito" za NIV:</t>
  </si>
  <si>
    <t>kontrola "použito" za INV:</t>
  </si>
  <si>
    <t>kontrola "použito" za INV</t>
  </si>
  <si>
    <t>na 346+348 / 901 903</t>
  </si>
  <si>
    <t>celkem užití INV dotace za OU (=mimo spoluřešitelů) vykázané vč. převodů do fondů</t>
  </si>
  <si>
    <t>(1) Údaje budou vyplněny v souladu s účetní evidencí vysoké školy</t>
  </si>
  <si>
    <r>
      <rPr>
        <sz val="8"/>
        <color indexed="8"/>
        <rFont val="Calibri"/>
        <family val="2"/>
        <charset val="238"/>
      </rPr>
      <t>(7)</t>
    </r>
    <r>
      <rPr>
        <sz val="10"/>
        <color indexed="8"/>
        <rFont val="Calibri"/>
        <family val="2"/>
        <charset val="238"/>
      </rPr>
      <t xml:space="preserve"> Hodnota mezd CELKEM v řádku 6 (CELKEM) tab. 8.a se rovná hodnotě mezd CELKEM ve sl. 8, ř. 11 tabulky 8.b</t>
    </r>
  </si>
  <si>
    <t>mzdy (7)</t>
  </si>
  <si>
    <r>
      <rPr>
        <sz val="8"/>
        <rFont val="Calibri"/>
        <family val="2"/>
        <charset val="238"/>
      </rPr>
      <t>(1)</t>
    </r>
    <r>
      <rPr>
        <sz val="10"/>
        <rFont val="Calibri"/>
        <family val="2"/>
        <charset val="238"/>
      </rPr>
      <t xml:space="preserve"> V případě použití tohoto řádku, VVŠ blíže specifikuje.</t>
    </r>
  </si>
  <si>
    <r>
      <rPr>
        <sz val="8"/>
        <rFont val="Calibri"/>
        <family val="2"/>
        <charset val="238"/>
      </rPr>
      <t>(2)</t>
    </r>
    <r>
      <rPr>
        <sz val="10"/>
        <rFont val="Calibri"/>
        <family val="2"/>
        <charset val="238"/>
      </rPr>
      <t xml:space="preserve"> V případě použití tohoto řádku, VVŠ blíže specifikuje.</t>
    </r>
  </si>
  <si>
    <r>
      <rPr>
        <sz val="8"/>
        <rFont val="Calibri"/>
        <family val="2"/>
        <charset val="238"/>
      </rPr>
      <t>(1)</t>
    </r>
    <r>
      <rPr>
        <sz val="10"/>
        <rFont val="Calibri"/>
        <family val="2"/>
        <charset val="238"/>
      </rPr>
      <t xml:space="preserve"> Uvést čerpání ve struktuře podle vnitřních předpisů VVŠ.</t>
    </r>
  </si>
  <si>
    <t>Mobility výzkumných pracovníků MŠMT
 Program 7A - Šestý RP ES
 (OU - příjemce dotace)</t>
  </si>
  <si>
    <t>Rámcové programy MŠMT
Program 7E - Podpora projektů 7. RP ES
(OU příjemce dotace)</t>
  </si>
  <si>
    <t>Program LE - EUPRO II (2011 - 2017)
(OU - spolupříjemce dotace)</t>
  </si>
  <si>
    <t>Program LH - KONTAKT II (2011 - 2017)
(OU - příjemce dotace)</t>
  </si>
  <si>
    <t>Program LD - COST CZ (2011 - 2017)
(OU - příjemce dotace)</t>
  </si>
  <si>
    <t xml:space="preserve">     ÚP - NPU</t>
  </si>
  <si>
    <t>Program LO – Národní program udržitelnosti I (2013–2020)
(OU – spolupříjemce dotace)</t>
  </si>
  <si>
    <t>TA - Program na podporu aplikovaného výzkumu a experimentálního vývoje ALFA (2011-2019)
(OU - příjemce dotace)</t>
  </si>
  <si>
    <t>TB - Program veřejných zakázek ve výzkumu, experimentálním vývoji a inovacích pro potřeby státní správy „BETA“ (2012-2016)
(OU - spolupříjemce dotace)</t>
  </si>
  <si>
    <t>Rozvojové programy (institucionální plány)</t>
  </si>
  <si>
    <t>Rozvojové programy (centralizované programy)</t>
  </si>
  <si>
    <t xml:space="preserve">    EU - 7.RP ES Marie Curie</t>
  </si>
  <si>
    <t>453122 Kostolányová</t>
  </si>
  <si>
    <t>133D21N002504</t>
  </si>
  <si>
    <r>
      <rPr>
        <sz val="8"/>
        <rFont val="Calibri"/>
        <family val="2"/>
        <charset val="238"/>
      </rPr>
      <t>(2)</t>
    </r>
    <r>
      <rPr>
        <sz val="10"/>
        <rFont val="Calibri"/>
        <family val="2"/>
        <charset val="238"/>
      </rPr>
      <t xml:space="preserve"> Vyhláškou je dáno pouze označení a členění textů; čísla příslušných účtů jsou doplněna pro lepší orientaci ve výkazu.</t>
    </r>
  </si>
  <si>
    <t>X</t>
  </si>
  <si>
    <r>
      <rPr>
        <sz val="8"/>
        <rFont val="Calibri"/>
        <family val="2"/>
        <charset val="238"/>
      </rPr>
      <t>(1)</t>
    </r>
    <r>
      <rPr>
        <sz val="10"/>
        <rFont val="Calibri"/>
        <family val="2"/>
        <charset val="238"/>
      </rPr>
      <t xml:space="preserve"> Zpracování "Výkazu zisku a ztráty" se řídí § 6 a §§ 26 až 28  Vyhlášky 504/2002 Sb.</t>
    </r>
  </si>
  <si>
    <t>škola</t>
  </si>
  <si>
    <t>Tabulka 2 a   Výkaz zisku a ztráty</t>
  </si>
  <si>
    <t>Koleje a menzy</t>
  </si>
  <si>
    <t>na 04x</t>
  </si>
  <si>
    <t>SÚ 04x za všechny dotační zdroje (= mimo zdroj 1100, 1190, 9100)</t>
  </si>
  <si>
    <t>ř.305,sl.12</t>
  </si>
  <si>
    <t>ř.305,sl.17</t>
  </si>
  <si>
    <t>ř.308,sl.12</t>
  </si>
  <si>
    <t>ř.308,sl.17</t>
  </si>
  <si>
    <t>ř.309,sl.12</t>
  </si>
  <si>
    <t>ř.309,sl.17</t>
  </si>
  <si>
    <t>ř.311,sl.12</t>
  </si>
  <si>
    <t>ř.311,sl.17</t>
  </si>
  <si>
    <t>ř.306,sl.12-zahr.</t>
  </si>
  <si>
    <t>ř.306,sl.17-zahr.</t>
  </si>
  <si>
    <t>ř.307,sl.12-VaV</t>
  </si>
  <si>
    <t>ř.307,sl.17-VaV</t>
  </si>
  <si>
    <t>ř.309b,sl.12-ost.OP</t>
  </si>
  <si>
    <t>ř.309b,sl.17-ost.OP</t>
  </si>
  <si>
    <t xml:space="preserve">z toho příděl ze zisku za předchozí r. </t>
  </si>
  <si>
    <t>Návrh na příděl ze zisku do fondů v násled. roce (1)</t>
  </si>
  <si>
    <r>
      <rPr>
        <sz val="8"/>
        <rFont val="Calibri"/>
        <family val="2"/>
        <charset val="238"/>
      </rPr>
      <t>(1)</t>
    </r>
    <r>
      <rPr>
        <sz val="10"/>
        <rFont val="Calibri"/>
        <family val="2"/>
        <charset val="238"/>
      </rPr>
      <t xml:space="preserve"> Do projednání výroční zprávy o hospodaření s MŠMT se jedná o návrh.</t>
    </r>
  </si>
  <si>
    <r>
      <rPr>
        <sz val="8"/>
        <rFont val="Calibri"/>
        <family val="2"/>
        <charset val="238"/>
      </rPr>
      <t>(2)</t>
    </r>
    <r>
      <rPr>
        <sz val="10"/>
        <rFont val="Calibri"/>
        <family val="2"/>
        <charset val="238"/>
      </rPr>
      <t xml:space="preserve"> Údaje v podbarvených polích se načtou automaticky z vyplněných tabulek 11.a až 11.g.</t>
    </r>
  </si>
  <si>
    <t>Součet počátečních stavů fondů k 1. 1. roku (pole a1) se rovná  údaji z řádku 0089 sl. 1 tab. 1 - Rozvaha.</t>
  </si>
  <si>
    <t>Součet koncových stavů fondů k 31. 12. roku (pole e1) se rovná  údaji z řádku 0089 sl. 2 tab. 1 - Rozvaha.</t>
  </si>
  <si>
    <t>počáteční stav k 1. 1.</t>
  </si>
  <si>
    <t>sl.3</t>
  </si>
  <si>
    <t xml:space="preserve">1.3. Další vzdělávání pracovníků škol a školských zařízení
</t>
  </si>
  <si>
    <r>
      <rPr>
        <sz val="8"/>
        <color indexed="8"/>
        <rFont val="Calibri"/>
        <family val="2"/>
        <charset val="238"/>
      </rPr>
      <t>(3)</t>
    </r>
    <r>
      <rPr>
        <sz val="10"/>
        <color indexed="8"/>
        <rFont val="Calibri"/>
        <family val="2"/>
        <charset val="238"/>
      </rPr>
      <t xml:space="preserve"> Uvedou se prostředky, které byly vysoké škole poskytnuty v roce 2014 na základě Rozhodnutí o poskytnutí dotace na přípravu a realizaci všech projektů uvedeného operačního programu a prioritní osy. </t>
    </r>
  </si>
  <si>
    <r>
      <rPr>
        <sz val="8"/>
        <color indexed="8"/>
        <rFont val="Calibri"/>
        <family val="2"/>
        <charset val="238"/>
      </rPr>
      <t>(4)</t>
    </r>
    <r>
      <rPr>
        <sz val="10"/>
        <color indexed="8"/>
        <rFont val="Calibri"/>
        <family val="2"/>
        <charset val="238"/>
      </rPr>
      <t xml:space="preserve"> Uvedou se prostředky použité v roce 2014 na přípravu a realizaci projektů v souladu s Rozhodnutím.</t>
    </r>
  </si>
  <si>
    <t>úplata za poskytování programů CŽV
v rámci akreditovaných studijních programů (§ 60/2)</t>
  </si>
  <si>
    <t>úplata za poskytování programů CŽV
v rámci neakreditovaných studijních programů
(mimo § 60/2, mimo U3V)</t>
  </si>
  <si>
    <t>úhrada za mimořádné a nadstandardní admin.úkony - zápis do studia/zápis do akademického roku, školení mimo termín stanovený harmonogramem fakulty či ústavu</t>
  </si>
  <si>
    <t>Tabulka 11.a   Rezervní fond za rok 2015</t>
  </si>
  <si>
    <t>Tabulka 11.c   Stipendijní fond za rok 2015</t>
  </si>
  <si>
    <t>Tabulka 11.d   Fond odměn za rok 2015</t>
  </si>
  <si>
    <t>Tabulka 11.f   Fond sociální za rok 2015</t>
  </si>
  <si>
    <t>Tabulka 11.g   Fond provozních prostředků za rok 2015</t>
  </si>
  <si>
    <t>1185 "D" Erasmus+</t>
  </si>
  <si>
    <t>1130 "D" zahr</t>
  </si>
  <si>
    <t>vč.vratky z FÚUP</t>
  </si>
  <si>
    <t>Tabulka 11.e   Fond účelově určených prostředků za rok 2015</t>
  </si>
  <si>
    <t>Tabulka 11.b   Fond reprodukce investičního majetku za rok 2015</t>
  </si>
  <si>
    <t xml:space="preserve">            vypořádání DPH (zálohový koef. z 0,25 na 0,25)</t>
  </si>
  <si>
    <t>MD 911 610 (ost.-VYP/XXXX/X/15)</t>
  </si>
  <si>
    <t>MD 911 610 (SW)</t>
  </si>
  <si>
    <t>MD 911 610 + MD 911 609 (SZNN)</t>
  </si>
  <si>
    <t>MD 911 610 + MD 911 640 + MD 911 609 (stavba)</t>
  </si>
  <si>
    <t>dal 911 640 (zdroj 1105)</t>
  </si>
  <si>
    <t>dal 911 630 část (=AÚ 551 031)</t>
  </si>
  <si>
    <t>dal 911 610</t>
  </si>
  <si>
    <t>MAN/9001/00774/15</t>
  </si>
  <si>
    <t>MAN/9007/00017/15</t>
  </si>
  <si>
    <t>MAN/9007/00020/15</t>
  </si>
  <si>
    <t>MAN/9001/624/15</t>
  </si>
  <si>
    <t>MAN/9001/847/15</t>
  </si>
  <si>
    <t>v tom: dotace OP ŽP (akce realizovány před r.2015)*1</t>
  </si>
  <si>
    <t>Tabulka 11   Fondy za rok 2015</t>
  </si>
  <si>
    <t>Tabulka 9  Stipendia za rok 2015</t>
  </si>
  <si>
    <t>Tabulka 5.a   Financování vzdělávací a vědecké, výzkumné, vývojové a inovační, umělecké a další tvůrčí činnosti v roce 2015</t>
  </si>
  <si>
    <t>Program NV - Program na podporu zdravotnického aplikovaného výzkumu a vývoje na léta 2015-2022                                               (OU - hlavní příjemce dotace)</t>
  </si>
  <si>
    <t xml:space="preserve">    Ministerstvo financí</t>
  </si>
  <si>
    <t>viz *1 Fráni Šrámka - dílčí část B</t>
  </si>
  <si>
    <t>133D21N002505</t>
  </si>
  <si>
    <t>viz *2 Českobratrská</t>
  </si>
  <si>
    <t>Tabulka 5.c  Financování programů reprodukce majetku v roce 2015</t>
  </si>
  <si>
    <t>(1) Uvedou se prostředky, které škola v roce 2015 přijala/použila v souladu s Rozhodnutím o poskytnutí dotace na přípravu a realizaci akcí programů reprodukce majetku. V případě, že uvedená hodnota zahrnuje i jiné veřejné prostředky než prostředky MŠMT, uvede se tato skutečnost spolu s výší této částky v připojeném komentáři.</t>
  </si>
  <si>
    <t>(2) Uvedou se finanční prostředky ve výši dle vystavených limitek k 31. 12. 2015</t>
  </si>
  <si>
    <t>Tabulka 5.b   Financování výzkumu a vývoje  v roce 2015</t>
  </si>
  <si>
    <t>Fond Partnerství Programu švýcarsko-české spolupráce
(OU - příjemce dotace)</t>
  </si>
  <si>
    <t>Program CZ 02 - Biodiverzita a ekosystémové služby (EHP a Norské fondy)
(OU - spolupříjemce dotace)</t>
  </si>
  <si>
    <t>Grantová agentura ČR - standardní granty
(OU - spolupříjemce dotace)</t>
  </si>
  <si>
    <t>Grantová agentura ČR - postdoktorandské granty
(OU - hlavní příjemce dotace)</t>
  </si>
  <si>
    <t>Grantová agentura ČR - standardní granty
(OU - hlavní příjemce dotace)</t>
  </si>
  <si>
    <t>Tabulka 3   Hospodářský výsledek za rok 2015</t>
  </si>
  <si>
    <r>
      <t xml:space="preserve">Tabulka 5   Veřejné zdroje financování VVŠ v roce 2015: prostředky poskytnuté a prostředky použité </t>
    </r>
    <r>
      <rPr>
        <sz val="8"/>
        <rFont val="Calibri"/>
        <family val="2"/>
        <charset val="238"/>
      </rPr>
      <t>(1)</t>
    </r>
  </si>
  <si>
    <t>Tabulka 5.d   Financování programů strukturálních fondů v roce 2015</t>
  </si>
  <si>
    <t>vratka INV dotace obdržené v r. 2015 (MŠMT apod.), fyzicky vrácené v r. 2016</t>
  </si>
  <si>
    <t>převod zůstatku obdrženého příspěvku r. 2015 do FRIM (zdroj 1105)</t>
  </si>
  <si>
    <t>převod zůstatku obdržené dotace r. 2015 do FÚUP (zdroj 1610)</t>
  </si>
  <si>
    <t>převod zůstatku obdržené dotace r. 2015 do FÚUP (zdroj 1650)</t>
  </si>
  <si>
    <t>AÚ MD346 002 z účetnictví (dotace 2015) = DAL 901 903 VJ SD</t>
  </si>
  <si>
    <t>AÚ MD348 002 z účetnictví (dotace 2015) = DAL 901 903 VJ SD</t>
  </si>
  <si>
    <t xml:space="preserve"> = čerpání celkem z MSK v r.2015 - čerpání INV dotace z MSK obdržené v r.2015=0-0</t>
  </si>
  <si>
    <t>čerpání INV dotace z MSK obdržené v r. 2014</t>
  </si>
  <si>
    <t>plnění od pojišťovny (= čerpání FRIM v r. 2014)</t>
  </si>
  <si>
    <t>čerpání FÚUP (zdroj 1610) = dotace obdržené v předchozích letech (r.2014 či dříve)</t>
  </si>
  <si>
    <t>čerpání FÚUP (zdroj 1650) = dotace obdržené v předchozích letech (r.2014 či dříve)</t>
  </si>
  <si>
    <t>převod nečerpané INV dotace MSK obdržené r.2015 (=0-0)</t>
  </si>
  <si>
    <t>doplatek dotace OP ŽP vyčerpané v předchozích letech na vrub FRIM</t>
  </si>
  <si>
    <t>313125 Malachová, 313126 Rossi</t>
  </si>
  <si>
    <t>252101 Zářický</t>
  </si>
  <si>
    <t xml:space="preserve">    Polsko - ostatní</t>
  </si>
  <si>
    <t xml:space="preserve">    EU - Horizon 2020</t>
  </si>
  <si>
    <t>313127 Kostolányová</t>
  </si>
  <si>
    <t>Tabulka 6  Přehled vybraných výnosů za rok 2015</t>
  </si>
  <si>
    <t>Výnosy za rok 2015</t>
  </si>
  <si>
    <t>Tabulka 8   Pracovníci a mzdové prostředky za rok 2015</t>
  </si>
  <si>
    <t>Tab. 8.a:    Pracovníci a mzdové prostředky za rok 2015 (dle zdroje financování mzdy a OON) (1)</t>
  </si>
  <si>
    <t>Tab. 8.b:    Pracovníci a mzdové prostředky za rok 2015 (bez OON)</t>
  </si>
  <si>
    <t>MPSV (OP LZZ) 2015</t>
  </si>
  <si>
    <t>MSK (OP VK) 2015</t>
  </si>
  <si>
    <t>Erasmus+ (EU)</t>
  </si>
  <si>
    <t>Erasmus+ (Slovensko)</t>
  </si>
  <si>
    <t>SZNN r.2013 (přeúčtování na vrub FRIM OU (zdroj 1100)</t>
  </si>
  <si>
    <t>SZNN r.2014 (přeúčtování na vrub dotace OPVaVpI (zdroj 1685)</t>
  </si>
  <si>
    <t>stavba r.2013 (přeúčtování na vrub dotace OPŽP (zdroj 1370)</t>
  </si>
  <si>
    <t xml:space="preserve">            snížení o výdaje min.let účt.r.2015 na dotaci</t>
  </si>
  <si>
    <t xml:space="preserve">            zvýšení o výdaje min.letúčt.r.2015 snnížení dotace</t>
  </si>
  <si>
    <t>MAN/9001/774/15, MAN/9007/17/15</t>
  </si>
  <si>
    <t>MAN/9007/20/15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</si>
</sst>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_ ;[Red]\-#,##0\ ;\–\ "/>
    <numFmt numFmtId="166" formatCode="#,##0.000"/>
    <numFmt numFmtId="167" formatCode="#,##0.00000"/>
  </numFmts>
  <fonts count="89" x14ac:knownFonts="1">
    <font>
      <sz val="11"/>
      <color theme="1"/>
      <name val="Calibri"/>
      <family val="2"/>
      <charset val="238"/>
      <scheme val="minor"/>
    </font>
    <font>
      <sz val="11"/>
      <color indexed="8"/>
      <name val="Calibri"/>
      <family val="2"/>
      <charset val="238"/>
    </font>
    <font>
      <sz val="10"/>
      <name val="Arial CE"/>
      <charset val="238"/>
    </font>
    <font>
      <sz val="8"/>
      <name val="Arial CE"/>
      <charset val="238"/>
    </font>
    <font>
      <sz val="10"/>
      <name val="Arial"/>
      <family val="2"/>
      <charset val="238"/>
    </font>
    <font>
      <sz val="10"/>
      <name val="Times New Roman"/>
      <family val="1"/>
      <charset val="238"/>
    </font>
    <font>
      <sz val="10"/>
      <name val="Calibri"/>
      <family val="2"/>
      <charset val="238"/>
    </font>
    <font>
      <b/>
      <sz val="12"/>
      <name val="Calibri"/>
      <family val="2"/>
      <charset val="238"/>
    </font>
    <font>
      <b/>
      <sz val="10"/>
      <name val="Calibri"/>
      <family val="2"/>
      <charset val="238"/>
    </font>
    <font>
      <i/>
      <sz val="10"/>
      <name val="Calibri"/>
      <family val="2"/>
      <charset val="238"/>
    </font>
    <font>
      <sz val="9"/>
      <name val="Calibri"/>
      <family val="2"/>
      <charset val="238"/>
    </font>
    <font>
      <b/>
      <sz val="9"/>
      <name val="Calibri"/>
      <family val="2"/>
      <charset val="238"/>
    </font>
    <font>
      <sz val="10"/>
      <color indexed="8"/>
      <name val="Calibri"/>
      <family val="2"/>
      <charset val="238"/>
    </font>
    <font>
      <b/>
      <sz val="10"/>
      <color indexed="8"/>
      <name val="Calibri"/>
      <family val="2"/>
      <charset val="238"/>
    </font>
    <font>
      <sz val="11"/>
      <name val="Calibri"/>
      <family val="2"/>
      <charset val="238"/>
    </font>
    <font>
      <sz val="8"/>
      <name val="Calibri"/>
      <family val="2"/>
      <charset val="238"/>
    </font>
    <font>
      <sz val="8"/>
      <color indexed="8"/>
      <name val="Calibri"/>
      <family val="2"/>
      <charset val="238"/>
    </font>
    <font>
      <b/>
      <sz val="8"/>
      <name val="Calibri"/>
      <family val="2"/>
      <charset val="238"/>
    </font>
    <font>
      <u/>
      <sz val="10"/>
      <name val="Calibri"/>
      <family val="2"/>
      <charset val="238"/>
    </font>
    <font>
      <sz val="12"/>
      <name val="Calibri"/>
      <family val="2"/>
      <charset val="238"/>
    </font>
    <font>
      <sz val="10"/>
      <color indexed="10"/>
      <name val="Calibri"/>
      <family val="2"/>
      <charset val="238"/>
    </font>
    <font>
      <b/>
      <sz val="11"/>
      <color indexed="8"/>
      <name val="Calibri"/>
      <family val="2"/>
      <charset val="238"/>
    </font>
    <font>
      <b/>
      <sz val="11"/>
      <name val="Calibri"/>
      <family val="2"/>
      <charset val="238"/>
    </font>
    <font>
      <b/>
      <sz val="12"/>
      <color indexed="8"/>
      <name val="Calibri"/>
      <family val="2"/>
      <charset val="238"/>
    </font>
    <font>
      <i/>
      <sz val="10"/>
      <color indexed="8"/>
      <name val="Calibri"/>
      <family val="2"/>
      <charset val="238"/>
    </font>
    <font>
      <u/>
      <sz val="10"/>
      <color indexed="8"/>
      <name val="Calibri"/>
      <family val="2"/>
      <charset val="238"/>
    </font>
    <font>
      <sz val="11"/>
      <color indexed="10"/>
      <name val="Calibri"/>
      <family val="2"/>
      <charset val="238"/>
    </font>
    <font>
      <b/>
      <sz val="12"/>
      <name val="Calibri"/>
      <family val="2"/>
      <charset val="238"/>
    </font>
    <font>
      <sz val="10"/>
      <name val="Calibri"/>
      <family val="2"/>
      <charset val="238"/>
    </font>
    <font>
      <b/>
      <sz val="10"/>
      <name val="Calibri"/>
      <family val="2"/>
      <charset val="238"/>
    </font>
    <font>
      <i/>
      <sz val="10"/>
      <name val="Calibri"/>
      <family val="2"/>
      <charset val="238"/>
    </font>
    <font>
      <sz val="10"/>
      <color indexed="10"/>
      <name val="Calibri"/>
      <family val="2"/>
      <charset val="238"/>
    </font>
    <font>
      <sz val="10"/>
      <color indexed="12"/>
      <name val="Calibri"/>
      <family val="2"/>
      <charset val="238"/>
    </font>
    <font>
      <sz val="12"/>
      <name val="Calibri"/>
      <family val="2"/>
      <charset val="238"/>
    </font>
    <font>
      <sz val="12"/>
      <color indexed="8"/>
      <name val="Calibri"/>
      <family val="2"/>
      <charset val="238"/>
    </font>
    <font>
      <sz val="10"/>
      <color indexed="10"/>
      <name val="Calibri"/>
      <family val="2"/>
      <charset val="238"/>
    </font>
    <font>
      <sz val="10"/>
      <color indexed="30"/>
      <name val="Calibri"/>
      <family val="2"/>
      <charset val="238"/>
    </font>
    <font>
      <sz val="10"/>
      <color indexed="8"/>
      <name val="Calibri"/>
      <family val="2"/>
      <charset val="238"/>
    </font>
    <font>
      <b/>
      <sz val="11"/>
      <name val="Calibri"/>
      <family val="2"/>
      <charset val="238"/>
    </font>
    <font>
      <b/>
      <sz val="10"/>
      <color indexed="8"/>
      <name val="Calibri"/>
      <family val="2"/>
      <charset val="238"/>
    </font>
    <font>
      <sz val="8"/>
      <name val="Calibri"/>
      <family val="2"/>
      <charset val="238"/>
    </font>
    <font>
      <i/>
      <sz val="11"/>
      <color indexed="8"/>
      <name val="Calibri"/>
      <family val="2"/>
      <charset val="238"/>
    </font>
    <font>
      <b/>
      <i/>
      <sz val="10"/>
      <color indexed="8"/>
      <name val="Calibri"/>
      <family val="2"/>
      <charset val="238"/>
    </font>
    <font>
      <vertAlign val="superscript"/>
      <sz val="10"/>
      <color indexed="8"/>
      <name val="Calibri"/>
      <family val="2"/>
      <charset val="238"/>
    </font>
    <font>
      <sz val="8"/>
      <color indexed="14"/>
      <name val="Calibri"/>
      <family val="2"/>
      <charset val="238"/>
    </font>
    <font>
      <sz val="8"/>
      <color indexed="52"/>
      <name val="Calibri"/>
      <family val="2"/>
      <charset val="238"/>
    </font>
    <font>
      <sz val="8"/>
      <color indexed="10"/>
      <name val="Calibri"/>
      <family val="2"/>
      <charset val="238"/>
    </font>
    <font>
      <sz val="10"/>
      <color indexed="14"/>
      <name val="Calibri"/>
      <family val="2"/>
      <charset val="238"/>
    </font>
    <font>
      <sz val="8"/>
      <color indexed="50"/>
      <name val="Calibri"/>
      <family val="2"/>
      <charset val="238"/>
    </font>
    <font>
      <sz val="9"/>
      <color indexed="8"/>
      <name val="Calibri"/>
      <family val="2"/>
      <charset val="238"/>
    </font>
    <font>
      <sz val="10"/>
      <color indexed="11"/>
      <name val="Calibri"/>
      <family val="2"/>
      <charset val="238"/>
    </font>
    <font>
      <sz val="10"/>
      <color indexed="53"/>
      <name val="Calibri"/>
      <family val="2"/>
      <charset val="238"/>
    </font>
    <font>
      <sz val="10"/>
      <color indexed="52"/>
      <name val="Calibri"/>
      <family val="2"/>
      <charset val="238"/>
    </font>
    <font>
      <sz val="10"/>
      <color indexed="50"/>
      <name val="Calibri"/>
      <family val="2"/>
      <charset val="238"/>
    </font>
    <font>
      <sz val="10"/>
      <color indexed="15"/>
      <name val="Calibri"/>
      <family val="2"/>
      <charset val="238"/>
    </font>
    <font>
      <sz val="8"/>
      <name val="Arial"/>
      <family val="2"/>
      <charset val="238"/>
    </font>
    <font>
      <sz val="8"/>
      <color indexed="8"/>
      <name val="Times New Roman"/>
      <family val="1"/>
      <charset val="238"/>
    </font>
    <font>
      <sz val="10"/>
      <name val="Arial"/>
      <family val="2"/>
      <charset val="238"/>
    </font>
    <font>
      <b/>
      <sz val="10"/>
      <color indexed="10"/>
      <name val="Calibri"/>
      <family val="2"/>
      <charset val="238"/>
    </font>
    <font>
      <sz val="11"/>
      <color rgb="FFFF0000"/>
      <name val="Calibri"/>
      <family val="2"/>
      <charset val="238"/>
      <scheme val="minor"/>
    </font>
    <font>
      <sz val="10"/>
      <color rgb="FFFF0000"/>
      <name val="Calibri"/>
      <family val="2"/>
      <charset val="238"/>
    </font>
    <font>
      <sz val="10"/>
      <color theme="1"/>
      <name val="Calibri"/>
      <family val="2"/>
      <charset val="238"/>
      <scheme val="minor"/>
    </font>
    <font>
      <sz val="10"/>
      <color rgb="FFFF0000"/>
      <name val="Calibri"/>
      <family val="2"/>
      <charset val="238"/>
      <scheme val="minor"/>
    </font>
    <font>
      <sz val="8"/>
      <color theme="1"/>
      <name val="Calibri"/>
      <family val="2"/>
      <charset val="238"/>
      <scheme val="minor"/>
    </font>
    <font>
      <sz val="8"/>
      <color rgb="FFFF0000"/>
      <name val="Calibri"/>
      <family val="2"/>
      <charset val="238"/>
      <scheme val="minor"/>
    </font>
    <font>
      <sz val="10"/>
      <color rgb="FF00FF00"/>
      <name val="Calibri"/>
      <family val="2"/>
      <charset val="238"/>
    </font>
    <font>
      <sz val="8"/>
      <color rgb="FF00FF00"/>
      <name val="Calibri"/>
      <family val="2"/>
      <charset val="238"/>
    </font>
    <font>
      <b/>
      <sz val="10"/>
      <color rgb="FFFF0000"/>
      <name val="Calibri"/>
      <family val="2"/>
      <charset val="238"/>
    </font>
    <font>
      <sz val="10"/>
      <name val="Calibri"/>
      <family val="2"/>
      <charset val="238"/>
      <scheme val="minor"/>
    </font>
    <font>
      <i/>
      <sz val="10"/>
      <color theme="1"/>
      <name val="Calibri"/>
      <family val="2"/>
      <charset val="238"/>
      <scheme val="minor"/>
    </font>
    <font>
      <sz val="10"/>
      <color rgb="FF00B0F0"/>
      <name val="Calibri"/>
      <family val="2"/>
      <charset val="238"/>
    </font>
    <font>
      <sz val="11"/>
      <color rgb="FF00B0F0"/>
      <name val="Calibri"/>
      <family val="2"/>
      <charset val="238"/>
      <scheme val="minor"/>
    </font>
    <font>
      <b/>
      <sz val="10"/>
      <color rgb="FF00B0F0"/>
      <name val="Calibri"/>
      <family val="2"/>
      <charset val="238"/>
    </font>
    <font>
      <sz val="11"/>
      <name val="Calibri"/>
      <family val="2"/>
      <charset val="238"/>
      <scheme val="minor"/>
    </font>
    <font>
      <b/>
      <sz val="10"/>
      <color theme="1"/>
      <name val="Calibri"/>
      <family val="2"/>
      <charset val="238"/>
    </font>
    <font>
      <sz val="10"/>
      <color theme="1"/>
      <name val="Calibri"/>
      <family val="2"/>
      <charset val="238"/>
    </font>
    <font>
      <b/>
      <sz val="10"/>
      <color theme="1"/>
      <name val="Calibri"/>
      <family val="2"/>
      <charset val="238"/>
      <scheme val="minor"/>
    </font>
    <font>
      <b/>
      <sz val="12"/>
      <name val="Calibri"/>
      <family val="2"/>
      <charset val="238"/>
      <scheme val="minor"/>
    </font>
    <font>
      <i/>
      <sz val="10"/>
      <name val="Calibri"/>
      <family val="2"/>
      <charset val="238"/>
      <scheme val="minor"/>
    </font>
    <font>
      <sz val="10"/>
      <color indexed="48"/>
      <name val="Calibri"/>
      <family val="2"/>
      <charset val="238"/>
      <scheme val="minor"/>
    </font>
    <font>
      <sz val="9"/>
      <name val="Calibri"/>
      <family val="2"/>
      <charset val="238"/>
      <scheme val="minor"/>
    </font>
    <font>
      <b/>
      <sz val="10"/>
      <name val="Calibri"/>
      <family val="2"/>
      <charset val="238"/>
      <scheme val="minor"/>
    </font>
    <font>
      <b/>
      <sz val="9"/>
      <name val="Calibri"/>
      <family val="2"/>
      <charset val="238"/>
      <scheme val="minor"/>
    </font>
    <font>
      <sz val="9"/>
      <color theme="1"/>
      <name val="Calibri"/>
      <family val="2"/>
      <charset val="238"/>
      <scheme val="minor"/>
    </font>
    <font>
      <sz val="8"/>
      <name val="Calibri"/>
      <family val="2"/>
      <charset val="238"/>
      <scheme val="minor"/>
    </font>
    <font>
      <sz val="7"/>
      <color theme="1"/>
      <name val="Calibri"/>
      <family val="2"/>
      <charset val="238"/>
      <scheme val="minor"/>
    </font>
    <font>
      <sz val="8"/>
      <color rgb="FFFF0000"/>
      <name val="Arial"/>
      <family val="2"/>
      <charset val="238"/>
    </font>
    <font>
      <sz val="11"/>
      <color theme="1"/>
      <name val="Calibri"/>
      <family val="2"/>
      <charset val="238"/>
      <scheme val="minor"/>
    </font>
    <font>
      <i/>
      <sz val="10"/>
      <color rgb="FF00B0F0"/>
      <name val="Calibri"/>
      <family val="2"/>
      <charset val="238"/>
      <scheme val="minor"/>
    </font>
  </fonts>
  <fills count="1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1"/>
        <bgColor indexed="64"/>
      </patternFill>
    </fill>
    <fill>
      <patternFill patternType="solid">
        <fgColor indexed="55"/>
        <bgColor indexed="64"/>
      </patternFill>
    </fill>
    <fill>
      <patternFill patternType="solid">
        <fgColor indexed="47"/>
        <bgColor indexed="64"/>
      </patternFill>
    </fill>
    <fill>
      <patternFill patternType="solid">
        <fgColor indexed="53"/>
        <bgColor indexed="64"/>
      </patternFill>
    </fill>
    <fill>
      <patternFill patternType="solid">
        <fgColor indexed="13"/>
        <bgColor indexed="64"/>
      </patternFill>
    </fill>
    <fill>
      <patternFill patternType="solid">
        <fgColor indexed="62"/>
        <bgColor indexed="64"/>
      </patternFill>
    </fill>
    <fill>
      <patternFill patternType="solid">
        <fgColor indexed="50"/>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theme="0"/>
        <bgColor indexed="64"/>
      </patternFill>
    </fill>
  </fills>
  <borders count="169">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55"/>
      </bottom>
      <diagonal/>
    </border>
    <border>
      <left style="thin">
        <color indexed="64"/>
      </left>
      <right/>
      <top style="medium">
        <color indexed="64"/>
      </top>
      <bottom style="thin">
        <color indexed="55"/>
      </bottom>
      <diagonal/>
    </border>
    <border>
      <left style="thin">
        <color indexed="64"/>
      </left>
      <right style="medium">
        <color indexed="64"/>
      </right>
      <top style="medium">
        <color indexed="64"/>
      </top>
      <bottom style="thin">
        <color indexed="55"/>
      </bottom>
      <diagonal/>
    </border>
    <border>
      <left style="medium">
        <color indexed="64"/>
      </left>
      <right/>
      <top style="thin">
        <color indexed="22"/>
      </top>
      <bottom style="thin">
        <color indexed="22"/>
      </bottom>
      <diagonal/>
    </border>
    <border>
      <left style="medium">
        <color indexed="64"/>
      </left>
      <right/>
      <top style="thin">
        <color indexed="55"/>
      </top>
      <bottom style="thin">
        <color indexed="55"/>
      </bottom>
      <diagonal/>
    </border>
    <border>
      <left style="thin">
        <color indexed="64"/>
      </left>
      <right/>
      <top style="thin">
        <color indexed="55"/>
      </top>
      <bottom style="thin">
        <color indexed="55"/>
      </bottom>
      <diagonal/>
    </border>
    <border>
      <left style="thin">
        <color indexed="64"/>
      </left>
      <right style="medium">
        <color indexed="64"/>
      </right>
      <top style="thin">
        <color indexed="55"/>
      </top>
      <bottom style="thin">
        <color indexed="55"/>
      </bottom>
      <diagonal/>
    </border>
    <border>
      <left/>
      <right/>
      <top style="thin">
        <color indexed="22"/>
      </top>
      <bottom style="thin">
        <color indexed="22"/>
      </bottom>
      <diagonal/>
    </border>
    <border>
      <left/>
      <right style="medium">
        <color indexed="64"/>
      </right>
      <top style="thin">
        <color indexed="22"/>
      </top>
      <bottom style="thin">
        <color indexed="22"/>
      </bottom>
      <diagonal/>
    </border>
    <border>
      <left style="medium">
        <color indexed="64"/>
      </left>
      <right/>
      <top style="thin">
        <color indexed="22"/>
      </top>
      <bottom style="medium">
        <color indexed="64"/>
      </bottom>
      <diagonal/>
    </border>
    <border>
      <left/>
      <right/>
      <top style="thin">
        <color indexed="22"/>
      </top>
      <bottom style="medium">
        <color indexed="64"/>
      </bottom>
      <diagonal/>
    </border>
    <border>
      <left/>
      <right style="medium">
        <color indexed="64"/>
      </right>
      <top style="thin">
        <color indexed="22"/>
      </top>
      <bottom style="medium">
        <color indexed="64"/>
      </bottom>
      <diagonal/>
    </border>
    <border>
      <left style="medium">
        <color indexed="64"/>
      </left>
      <right/>
      <top style="thin">
        <color indexed="55"/>
      </top>
      <bottom style="medium">
        <color indexed="64"/>
      </bottom>
      <diagonal/>
    </border>
    <border>
      <left style="thin">
        <color indexed="64"/>
      </left>
      <right/>
      <top style="thin">
        <color indexed="55"/>
      </top>
      <bottom style="medium">
        <color indexed="64"/>
      </bottom>
      <diagonal/>
    </border>
    <border>
      <left style="thin">
        <color indexed="64"/>
      </left>
      <right style="medium">
        <color indexed="64"/>
      </right>
      <top style="thin">
        <color indexed="55"/>
      </top>
      <bottom style="medium">
        <color indexed="64"/>
      </bottom>
      <diagonal/>
    </border>
    <border>
      <left style="medium">
        <color indexed="64"/>
      </left>
      <right/>
      <top/>
      <bottom style="thin">
        <color indexed="55"/>
      </bottom>
      <diagonal/>
    </border>
    <border>
      <left style="thin">
        <color indexed="64"/>
      </left>
      <right/>
      <top style="thin">
        <color indexed="64"/>
      </top>
      <bottom style="medium">
        <color indexed="64"/>
      </bottom>
      <diagonal/>
    </border>
    <border>
      <left/>
      <right style="medium">
        <color indexed="64"/>
      </right>
      <top/>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style="thin">
        <color indexed="64"/>
      </left>
      <right/>
      <top/>
      <bottom/>
      <diagonal/>
    </border>
    <border>
      <left/>
      <right style="hair">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hair">
        <color indexed="64"/>
      </right>
      <top style="medium">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medium">
        <color indexed="64"/>
      </bottom>
      <diagonal/>
    </border>
    <border>
      <left/>
      <right/>
      <top style="medium">
        <color indexed="64"/>
      </top>
      <bottom style="medium">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right/>
      <top/>
      <bottom style="thin">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medium">
        <color indexed="64"/>
      </right>
      <top/>
      <bottom style="thin">
        <color indexed="64"/>
      </bottom>
      <diagonal/>
    </border>
    <border>
      <left style="thin">
        <color indexed="64"/>
      </left>
      <right style="thin">
        <color indexed="64"/>
      </right>
      <top/>
      <bottom style="thin">
        <color indexed="55"/>
      </bottom>
      <diagonal/>
    </border>
    <border>
      <left style="medium">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bottom/>
      <diagonal/>
    </border>
    <border>
      <left style="thin">
        <color indexed="64"/>
      </left>
      <right style="medium">
        <color indexed="64"/>
      </right>
      <top/>
      <bottom/>
      <diagonal/>
    </border>
    <border>
      <left/>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right style="thin">
        <color indexed="64"/>
      </right>
      <top/>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55"/>
      </top>
      <bottom style="thin">
        <color indexed="64"/>
      </bottom>
      <diagonal/>
    </border>
    <border>
      <left style="thin">
        <color indexed="64"/>
      </left>
      <right style="medium">
        <color indexed="64"/>
      </right>
      <top style="thin">
        <color indexed="55"/>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style="thin">
        <color indexed="55"/>
      </bottom>
      <diagonal/>
    </border>
    <border>
      <left style="thin">
        <color indexed="64"/>
      </left>
      <right/>
      <top style="thin">
        <color indexed="55"/>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22"/>
      </bottom>
      <diagonal/>
    </border>
    <border>
      <left/>
      <right/>
      <top style="medium">
        <color indexed="64"/>
      </top>
      <bottom style="thin">
        <color indexed="22"/>
      </bottom>
      <diagonal/>
    </border>
    <border>
      <left/>
      <right style="medium">
        <color indexed="64"/>
      </right>
      <top style="medium">
        <color indexed="64"/>
      </top>
      <bottom style="thin">
        <color indexed="22"/>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bottom style="thin">
        <color indexed="22"/>
      </bottom>
      <diagonal/>
    </border>
    <border>
      <left/>
      <right/>
      <top/>
      <bottom style="thin">
        <color indexed="22"/>
      </bottom>
      <diagonal/>
    </border>
    <border>
      <left/>
      <right style="medium">
        <color indexed="64"/>
      </right>
      <top/>
      <bottom style="thin">
        <color indexed="22"/>
      </bottom>
      <diagonal/>
    </border>
    <border>
      <left style="hair">
        <color indexed="64"/>
      </left>
      <right style="hair">
        <color indexed="64"/>
      </right>
      <top/>
      <bottom style="thin">
        <color indexed="64"/>
      </bottom>
      <diagonal/>
    </border>
    <border>
      <left/>
      <right style="hair">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right style="hair">
        <color indexed="64"/>
      </right>
      <top style="medium">
        <color indexed="64"/>
      </top>
      <bottom/>
      <diagonal/>
    </border>
    <border>
      <left/>
      <right style="hair">
        <color indexed="64"/>
      </right>
      <top/>
      <bottom style="thin">
        <color indexed="64"/>
      </bottom>
      <diagonal/>
    </border>
    <border>
      <left style="hair">
        <color indexed="64"/>
      </left>
      <right style="medium">
        <color indexed="64"/>
      </right>
      <top style="medium">
        <color indexed="64"/>
      </top>
      <bottom/>
      <diagonal/>
    </border>
    <border>
      <left style="hair">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style="thin">
        <color indexed="64"/>
      </right>
      <top style="medium">
        <color indexed="64"/>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medium">
        <color indexed="64"/>
      </bottom>
      <diagonal/>
    </border>
    <border diagonalUp="1">
      <left style="hair">
        <color indexed="64"/>
      </left>
      <right style="thin">
        <color indexed="64"/>
      </right>
      <top style="medium">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hair">
        <color indexed="64"/>
      </left>
      <right style="thin">
        <color indexed="64"/>
      </right>
      <top style="thin">
        <color indexed="64"/>
      </top>
      <bottom style="thin">
        <color indexed="64"/>
      </bottom>
      <diagonal style="thin">
        <color indexed="64"/>
      </diagonal>
    </border>
    <border>
      <left style="hair">
        <color indexed="64"/>
      </left>
      <right style="thin">
        <color indexed="64"/>
      </right>
      <top style="thin">
        <color indexed="64"/>
      </top>
      <bottom/>
      <diagonal/>
    </border>
    <border diagonalUp="1">
      <left style="hair">
        <color indexed="64"/>
      </left>
      <right style="thin">
        <color indexed="64"/>
      </right>
      <top style="medium">
        <color indexed="64"/>
      </top>
      <bottom style="medium">
        <color indexed="64"/>
      </bottom>
      <diagonal style="hair">
        <color indexed="64"/>
      </diagonal>
    </border>
  </borders>
  <cellStyleXfs count="7">
    <xf numFmtId="0" fontId="0" fillId="0" borderId="0"/>
    <xf numFmtId="0" fontId="4" fillId="0" borderId="0"/>
    <xf numFmtId="0" fontId="4" fillId="0" borderId="0"/>
    <xf numFmtId="0" fontId="2" fillId="0" borderId="0"/>
    <xf numFmtId="0" fontId="3" fillId="0" borderId="0"/>
    <xf numFmtId="0" fontId="2" fillId="0" borderId="0"/>
    <xf numFmtId="0" fontId="87" fillId="0" borderId="0"/>
  </cellStyleXfs>
  <cellXfs count="1505">
    <xf numFmtId="0" fontId="0" fillId="0" borderId="0" xfId="0"/>
    <xf numFmtId="0" fontId="4" fillId="0" borderId="0" xfId="1"/>
    <xf numFmtId="0" fontId="4" fillId="0" borderId="0" xfId="1" applyAlignment="1">
      <alignment vertical="center"/>
    </xf>
    <xf numFmtId="0" fontId="5" fillId="0" borderId="0" xfId="1" applyFont="1" applyAlignment="1" applyProtection="1">
      <alignment vertical="center"/>
      <protection locked="0"/>
    </xf>
    <xf numFmtId="0" fontId="5" fillId="0" borderId="0" xfId="1" applyFont="1" applyAlignment="1">
      <alignment vertical="center"/>
    </xf>
    <xf numFmtId="0" fontId="5" fillId="0" borderId="0" xfId="1" applyFont="1" applyAlignment="1">
      <alignment horizontal="center" vertical="center"/>
    </xf>
    <xf numFmtId="49" fontId="5" fillId="0" borderId="0" xfId="1" applyNumberFormat="1" applyFont="1" applyAlignment="1" applyProtection="1">
      <alignment vertical="center"/>
      <protection locked="0"/>
    </xf>
    <xf numFmtId="49" fontId="5" fillId="0" borderId="0" xfId="1" applyNumberFormat="1" applyFont="1" applyAlignment="1">
      <alignment vertical="center"/>
    </xf>
    <xf numFmtId="0" fontId="27" fillId="0" borderId="0" xfId="1" applyFont="1" applyAlignment="1" applyProtection="1">
      <alignment vertical="center"/>
      <protection locked="0"/>
    </xf>
    <xf numFmtId="0" fontId="28" fillId="0" borderId="0" xfId="1" applyFont="1" applyAlignment="1" applyProtection="1">
      <alignment vertical="center"/>
      <protection locked="0"/>
    </xf>
    <xf numFmtId="0" fontId="28" fillId="0" borderId="0" xfId="1" applyFont="1" applyAlignment="1" applyProtection="1">
      <alignment horizontal="right" vertical="center"/>
      <protection locked="0"/>
    </xf>
    <xf numFmtId="0" fontId="28" fillId="0" borderId="1" xfId="1" applyFont="1" applyBorder="1" applyAlignment="1" applyProtection="1">
      <alignment horizontal="center" vertical="center" wrapText="1"/>
      <protection locked="0"/>
    </xf>
    <xf numFmtId="49" fontId="28" fillId="0" borderId="0" xfId="1" applyNumberFormat="1" applyFont="1" applyAlignment="1" applyProtection="1">
      <alignment vertical="center"/>
      <protection locked="0"/>
    </xf>
    <xf numFmtId="0" fontId="28" fillId="0" borderId="0" xfId="1" applyFont="1" applyAlignment="1">
      <alignment vertical="center"/>
    </xf>
    <xf numFmtId="0" fontId="6" fillId="0" borderId="0" xfId="1" applyFont="1" applyAlignment="1" applyProtection="1">
      <alignment vertical="center"/>
      <protection locked="0"/>
    </xf>
    <xf numFmtId="0" fontId="6" fillId="0" borderId="0" xfId="1" applyFont="1" applyAlignment="1">
      <alignment vertical="center"/>
    </xf>
    <xf numFmtId="0" fontId="6" fillId="0" borderId="0" xfId="1" applyFont="1" applyAlignment="1">
      <alignment horizontal="center" vertical="center"/>
    </xf>
    <xf numFmtId="49" fontId="6" fillId="0" borderId="0" xfId="1" applyNumberFormat="1" applyFont="1" applyAlignment="1" applyProtection="1">
      <alignment vertical="center"/>
      <protection locked="0"/>
    </xf>
    <xf numFmtId="49" fontId="6" fillId="0" borderId="0" xfId="1" applyNumberFormat="1" applyFont="1" applyAlignment="1">
      <alignment vertical="center"/>
    </xf>
    <xf numFmtId="0" fontId="7" fillId="0" borderId="0" xfId="1" applyFont="1" applyAlignment="1" applyProtection="1">
      <alignment vertical="center"/>
      <protection locked="0"/>
    </xf>
    <xf numFmtId="0" fontId="6"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0" fillId="0" borderId="0" xfId="1" applyFont="1" applyAlignment="1" applyProtection="1">
      <alignment vertical="center"/>
      <protection locked="0"/>
    </xf>
    <xf numFmtId="0" fontId="28" fillId="0" borderId="0" xfId="1" applyFont="1" applyAlignment="1" applyProtection="1">
      <alignment horizontal="center" vertical="center"/>
      <protection locked="0"/>
    </xf>
    <xf numFmtId="0" fontId="28" fillId="0" borderId="0" xfId="1" applyFont="1" applyAlignment="1">
      <alignment horizontal="center" vertical="center"/>
    </xf>
    <xf numFmtId="0" fontId="28" fillId="0" borderId="0" xfId="1" applyFont="1" applyBorder="1" applyAlignment="1" applyProtection="1">
      <alignment vertical="center" wrapText="1"/>
      <protection locked="0"/>
    </xf>
    <xf numFmtId="0" fontId="28" fillId="0" borderId="2" xfId="1" applyFont="1" applyBorder="1" applyAlignment="1" applyProtection="1">
      <alignment vertical="center"/>
      <protection locked="0"/>
    </xf>
    <xf numFmtId="0" fontId="28" fillId="0" borderId="0" xfId="1" applyFont="1" applyBorder="1" applyAlignment="1" applyProtection="1">
      <alignment vertical="center"/>
      <protection locked="0"/>
    </xf>
    <xf numFmtId="0" fontId="28" fillId="0" borderId="0" xfId="1" applyFont="1" applyProtection="1">
      <protection locked="0"/>
    </xf>
    <xf numFmtId="0" fontId="29" fillId="0" borderId="3" xfId="1" applyFont="1" applyBorder="1" applyAlignment="1" applyProtection="1">
      <alignment horizontal="center" vertical="center" wrapText="1"/>
      <protection locked="0"/>
    </xf>
    <xf numFmtId="0" fontId="29" fillId="0" borderId="4" xfId="1" applyFont="1" applyBorder="1" applyAlignment="1" applyProtection="1">
      <alignment horizontal="center" vertical="center" wrapText="1"/>
      <protection locked="0"/>
    </xf>
    <xf numFmtId="0" fontId="29" fillId="0" borderId="5" xfId="1" applyFont="1" applyBorder="1" applyAlignment="1" applyProtection="1">
      <alignment horizontal="center" vertical="center" wrapText="1"/>
      <protection locked="0"/>
    </xf>
    <xf numFmtId="0" fontId="29" fillId="0" borderId="6" xfId="1" applyFont="1" applyBorder="1" applyAlignment="1" applyProtection="1">
      <alignment horizontal="center" vertical="center" wrapText="1"/>
      <protection locked="0"/>
    </xf>
    <xf numFmtId="0" fontId="31" fillId="0" borderId="0" xfId="1" applyFont="1" applyAlignment="1" applyProtection="1">
      <alignment vertical="center"/>
      <protection locked="0"/>
    </xf>
    <xf numFmtId="0" fontId="29" fillId="0" borderId="0" xfId="1" applyFont="1" applyAlignment="1" applyProtection="1">
      <alignment horizontal="justify" vertical="center"/>
      <protection locked="0"/>
    </xf>
    <xf numFmtId="0" fontId="28" fillId="0" borderId="7" xfId="1" applyFont="1" applyFill="1" applyBorder="1" applyAlignment="1" applyProtection="1">
      <alignment horizontal="center" vertical="center" wrapText="1"/>
      <protection locked="0"/>
    </xf>
    <xf numFmtId="0" fontId="28" fillId="0" borderId="0" xfId="1" applyFont="1" applyFill="1" applyAlignment="1" applyProtection="1">
      <alignment vertical="center"/>
      <protection locked="0"/>
    </xf>
    <xf numFmtId="0" fontId="33" fillId="0" borderId="0" xfId="1" applyFont="1" applyAlignment="1" applyProtection="1">
      <alignment horizontal="right" vertical="center"/>
      <protection locked="0"/>
    </xf>
    <xf numFmtId="3" fontId="28" fillId="0" borderId="2" xfId="1" applyNumberFormat="1" applyFont="1" applyFill="1" applyBorder="1" applyAlignment="1" applyProtection="1">
      <alignment horizontal="right" vertical="center" wrapText="1"/>
      <protection locked="0"/>
    </xf>
    <xf numFmtId="3" fontId="28" fillId="0" borderId="8" xfId="1" applyNumberFormat="1" applyFont="1" applyBorder="1" applyAlignment="1" applyProtection="1">
      <alignment horizontal="right" vertical="center" wrapText="1"/>
      <protection hidden="1"/>
    </xf>
    <xf numFmtId="0" fontId="28" fillId="0" borderId="0" xfId="1" applyFont="1" applyBorder="1" applyProtection="1">
      <protection locked="0"/>
    </xf>
    <xf numFmtId="0" fontId="28" fillId="0" borderId="0" xfId="1" applyFont="1" applyBorder="1" applyAlignment="1" applyProtection="1">
      <alignment horizontal="justify" vertical="center" wrapText="1"/>
      <protection locked="0"/>
    </xf>
    <xf numFmtId="0" fontId="28" fillId="0" borderId="0" xfId="1" applyFont="1" applyFill="1" applyAlignment="1" applyProtection="1">
      <alignment horizontal="left" vertical="center"/>
      <protection locked="0"/>
    </xf>
    <xf numFmtId="0" fontId="28" fillId="0" borderId="0" xfId="1" applyFont="1" applyBorder="1" applyAlignment="1" applyProtection="1">
      <alignment horizontal="left" vertical="center" wrapText="1"/>
      <protection locked="0"/>
    </xf>
    <xf numFmtId="0" fontId="27" fillId="0" borderId="0" xfId="1" applyFont="1" applyBorder="1" applyAlignment="1" applyProtection="1">
      <alignment horizontal="justify" vertical="center"/>
      <protection locked="0"/>
    </xf>
    <xf numFmtId="0" fontId="28" fillId="0" borderId="0" xfId="1" applyFont="1" applyBorder="1" applyAlignment="1" applyProtection="1">
      <alignment horizontal="left" vertical="center"/>
      <protection locked="0"/>
    </xf>
    <xf numFmtId="0" fontId="28" fillId="0" borderId="0" xfId="1" applyFont="1" applyBorder="1" applyAlignment="1">
      <alignment vertical="center"/>
    </xf>
    <xf numFmtId="0" fontId="28" fillId="0" borderId="0" xfId="1" applyFont="1" applyBorder="1" applyAlignment="1">
      <alignment horizontal="left" vertical="center"/>
    </xf>
    <xf numFmtId="0" fontId="28" fillId="0" borderId="0" xfId="1" applyFont="1" applyAlignment="1">
      <alignment horizontal="left" vertical="center"/>
    </xf>
    <xf numFmtId="0" fontId="28" fillId="0" borderId="0" xfId="1" applyFont="1" applyFill="1" applyBorder="1" applyProtection="1">
      <protection locked="0"/>
    </xf>
    <xf numFmtId="0" fontId="28" fillId="0" borderId="0" xfId="1" applyFont="1" applyFill="1" applyBorder="1" applyAlignment="1" applyProtection="1">
      <alignment vertical="center"/>
      <protection locked="0"/>
    </xf>
    <xf numFmtId="0" fontId="35" fillId="0" borderId="0" xfId="1" applyFont="1" applyAlignment="1" applyProtection="1">
      <alignment vertical="center"/>
      <protection locked="0"/>
    </xf>
    <xf numFmtId="0" fontId="28" fillId="0" borderId="9" xfId="1" applyFont="1" applyFill="1" applyBorder="1" applyAlignment="1" applyProtection="1">
      <alignment horizontal="center" vertical="center" wrapText="1"/>
      <protection locked="0"/>
    </xf>
    <xf numFmtId="0" fontId="28" fillId="0" borderId="1" xfId="1" applyFont="1" applyFill="1" applyBorder="1" applyAlignment="1" applyProtection="1">
      <alignment horizontal="center" vertical="center" wrapText="1"/>
      <protection locked="0"/>
    </xf>
    <xf numFmtId="0" fontId="28" fillId="0" borderId="10" xfId="1" applyFont="1" applyFill="1" applyBorder="1" applyAlignment="1" applyProtection="1">
      <alignment horizontal="center" vertical="center" wrapText="1"/>
      <protection locked="0"/>
    </xf>
    <xf numFmtId="0" fontId="0" fillId="0" borderId="0" xfId="0" applyAlignment="1">
      <alignment vertical="center"/>
    </xf>
    <xf numFmtId="0" fontId="38" fillId="0" borderId="0" xfId="1" applyFont="1" applyAlignment="1" applyProtection="1">
      <alignment vertical="center"/>
      <protection locked="0"/>
    </xf>
    <xf numFmtId="0" fontId="0" fillId="0" borderId="0" xfId="0" applyAlignment="1">
      <alignment horizontal="center" vertical="center"/>
    </xf>
    <xf numFmtId="0" fontId="37" fillId="0" borderId="0" xfId="0" applyFont="1" applyAlignment="1">
      <alignment vertical="center"/>
    </xf>
    <xf numFmtId="0" fontId="28" fillId="0" borderId="0" xfId="1" applyFont="1" applyBorder="1" applyAlignment="1" applyProtection="1">
      <alignment horizontal="center" vertical="center"/>
      <protection locked="0"/>
    </xf>
    <xf numFmtId="0" fontId="6" fillId="0" borderId="0" xfId="3" applyFont="1" applyFill="1" applyBorder="1" applyAlignment="1">
      <alignment vertical="center"/>
    </xf>
    <xf numFmtId="0" fontId="6" fillId="0" borderId="0" xfId="3" applyFont="1" applyBorder="1" applyAlignment="1">
      <alignment vertical="center"/>
    </xf>
    <xf numFmtId="3" fontId="28" fillId="0" borderId="2" xfId="1" applyNumberFormat="1" applyFont="1" applyBorder="1" applyAlignment="1" applyProtection="1">
      <alignment vertical="center" wrapText="1"/>
      <protection locked="0"/>
    </xf>
    <xf numFmtId="0" fontId="28" fillId="0" borderId="11" xfId="1" applyFont="1" applyBorder="1" applyAlignment="1" applyProtection="1">
      <alignment horizontal="center" vertical="center" wrapText="1"/>
      <protection locked="0"/>
    </xf>
    <xf numFmtId="0" fontId="28" fillId="0" borderId="12" xfId="1" applyFont="1" applyBorder="1" applyAlignment="1" applyProtection="1">
      <alignment horizontal="center" vertical="center" wrapText="1"/>
      <protection locked="0"/>
    </xf>
    <xf numFmtId="0" fontId="6" fillId="0" borderId="0" xfId="5" applyFont="1" applyFill="1" applyAlignment="1" applyProtection="1">
      <alignment vertical="center"/>
      <protection locked="0"/>
    </xf>
    <xf numFmtId="0" fontId="6" fillId="0" borderId="0" xfId="1" applyFont="1" applyFill="1" applyAlignment="1" applyProtection="1">
      <alignment vertical="center"/>
      <protection locked="0"/>
    </xf>
    <xf numFmtId="0" fontId="6" fillId="0" borderId="0" xfId="1" applyFont="1" applyAlignment="1" applyProtection="1">
      <alignment horizontal="left" vertical="center" wrapText="1"/>
      <protection locked="0"/>
    </xf>
    <xf numFmtId="0" fontId="6" fillId="0" borderId="0" xfId="1" applyFont="1" applyAlignment="1" applyProtection="1">
      <alignment horizontal="left" vertical="center"/>
      <protection locked="0"/>
    </xf>
    <xf numFmtId="0" fontId="0" fillId="0" borderId="0" xfId="0" applyFill="1"/>
    <xf numFmtId="3" fontId="28" fillId="0" borderId="13" xfId="1" applyNumberFormat="1" applyFont="1" applyBorder="1" applyAlignment="1" applyProtection="1">
      <alignment vertical="center" wrapText="1"/>
      <protection locked="0"/>
    </xf>
    <xf numFmtId="0" fontId="28" fillId="0" borderId="2" xfId="1" applyFont="1" applyBorder="1" applyAlignment="1" applyProtection="1">
      <alignment horizontal="center" vertical="center" wrapText="1"/>
      <protection locked="0"/>
    </xf>
    <xf numFmtId="0" fontId="28" fillId="0" borderId="2" xfId="1" applyFont="1" applyBorder="1" applyAlignment="1" applyProtection="1">
      <alignment horizontal="left" vertical="center" wrapText="1"/>
      <protection locked="0"/>
    </xf>
    <xf numFmtId="0" fontId="28" fillId="0" borderId="13" xfId="1" applyFont="1" applyBorder="1" applyAlignment="1" applyProtection="1">
      <alignment vertical="center" wrapText="1"/>
      <protection locked="0"/>
    </xf>
    <xf numFmtId="0" fontId="28" fillId="2" borderId="14" xfId="1" applyFont="1" applyFill="1" applyBorder="1" applyAlignment="1" applyProtection="1">
      <alignment horizontal="center" vertical="center"/>
      <protection locked="0"/>
    </xf>
    <xf numFmtId="0" fontId="28" fillId="2" borderId="2" xfId="1" applyFont="1" applyFill="1" applyBorder="1" applyAlignment="1" applyProtection="1">
      <alignment horizontal="left" vertical="center"/>
      <protection locked="0"/>
    </xf>
    <xf numFmtId="0" fontId="28" fillId="2" borderId="2" xfId="1" applyFont="1" applyFill="1" applyBorder="1" applyAlignment="1" applyProtection="1">
      <alignment horizontal="left" vertical="center" wrapText="1"/>
      <protection locked="0"/>
    </xf>
    <xf numFmtId="3" fontId="28" fillId="2" borderId="2" xfId="1" applyNumberFormat="1" applyFont="1" applyFill="1" applyBorder="1" applyAlignment="1" applyProtection="1">
      <alignment horizontal="right" vertical="center" wrapText="1"/>
      <protection locked="0"/>
    </xf>
    <xf numFmtId="3" fontId="28" fillId="2" borderId="8" xfId="1" applyNumberFormat="1" applyFont="1" applyFill="1" applyBorder="1" applyAlignment="1" applyProtection="1">
      <alignment horizontal="right" vertical="center" wrapText="1"/>
      <protection hidden="1"/>
    </xf>
    <xf numFmtId="0" fontId="28" fillId="2" borderId="7" xfId="1" applyFont="1" applyFill="1" applyBorder="1" applyAlignment="1" applyProtection="1">
      <alignment horizontal="center" vertical="center"/>
      <protection locked="0"/>
    </xf>
    <xf numFmtId="3" fontId="28" fillId="2" borderId="9" xfId="1" applyNumberFormat="1" applyFont="1" applyFill="1" applyBorder="1" applyAlignment="1" applyProtection="1">
      <alignment horizontal="right" vertical="center"/>
      <protection locked="0"/>
    </xf>
    <xf numFmtId="3" fontId="28" fillId="2" borderId="1" xfId="1" applyNumberFormat="1" applyFont="1" applyFill="1" applyBorder="1" applyAlignment="1" applyProtection="1">
      <alignment horizontal="right" vertical="center" wrapText="1"/>
      <protection hidden="1"/>
    </xf>
    <xf numFmtId="0" fontId="28" fillId="2" borderId="15" xfId="1" applyFont="1" applyFill="1" applyBorder="1" applyAlignment="1" applyProtection="1">
      <alignment horizontal="center" vertical="center"/>
      <protection locked="0"/>
    </xf>
    <xf numFmtId="0" fontId="28" fillId="0" borderId="16" xfId="1" applyFont="1" applyBorder="1" applyAlignment="1" applyProtection="1">
      <alignment horizontal="justify" vertical="center" wrapText="1"/>
      <protection locked="0"/>
    </xf>
    <xf numFmtId="0" fontId="28" fillId="0" borderId="17" xfId="1" applyFont="1" applyBorder="1" applyAlignment="1" applyProtection="1">
      <alignment horizontal="center" vertical="center" wrapText="1"/>
      <protection locked="0"/>
    </xf>
    <xf numFmtId="0" fontId="28" fillId="0" borderId="14" xfId="1" applyFont="1" applyBorder="1" applyAlignment="1" applyProtection="1">
      <alignment horizontal="center" vertical="center" wrapText="1"/>
      <protection locked="0"/>
    </xf>
    <xf numFmtId="0" fontId="28" fillId="0" borderId="18" xfId="1" applyFont="1" applyBorder="1" applyAlignment="1" applyProtection="1">
      <alignment vertical="center"/>
      <protection locked="0"/>
    </xf>
    <xf numFmtId="0" fontId="29" fillId="0" borderId="19" xfId="1" applyFont="1" applyFill="1" applyBorder="1" applyAlignment="1" applyProtection="1">
      <alignment vertical="center"/>
      <protection locked="0"/>
    </xf>
    <xf numFmtId="0" fontId="6" fillId="0" borderId="14" xfId="1" applyFont="1" applyBorder="1" applyAlignment="1">
      <alignment horizontal="center" vertical="center"/>
    </xf>
    <xf numFmtId="0" fontId="6" fillId="0" borderId="20" xfId="1" applyFont="1" applyBorder="1" applyAlignment="1" applyProtection="1">
      <alignment horizontal="center" vertical="center" wrapText="1"/>
      <protection locked="0"/>
    </xf>
    <xf numFmtId="0" fontId="6" fillId="0" borderId="17" xfId="1" applyFont="1" applyBorder="1" applyAlignment="1" applyProtection="1">
      <alignment horizontal="center" vertical="center" wrapText="1"/>
      <protection locked="0"/>
    </xf>
    <xf numFmtId="0" fontId="6" fillId="0" borderId="11" xfId="1" applyFont="1" applyBorder="1" applyAlignment="1" applyProtection="1">
      <alignment horizontal="center" vertical="center" wrapText="1"/>
      <protection locked="0"/>
    </xf>
    <xf numFmtId="0" fontId="6" fillId="0" borderId="21" xfId="1" applyFont="1" applyBorder="1" applyAlignment="1" applyProtection="1">
      <alignment horizontal="center" vertical="center" wrapText="1"/>
      <protection locked="0"/>
    </xf>
    <xf numFmtId="0" fontId="6" fillId="0" borderId="12" xfId="1" applyFont="1" applyBorder="1" applyAlignment="1" applyProtection="1">
      <alignment horizontal="center" vertical="center" wrapText="1"/>
      <protection locked="0"/>
    </xf>
    <xf numFmtId="0" fontId="6" fillId="0" borderId="14" xfId="1" applyFont="1" applyBorder="1" applyAlignment="1" applyProtection="1">
      <alignment horizontal="center" vertical="center" wrapText="1"/>
      <protection locked="0"/>
    </xf>
    <xf numFmtId="0" fontId="6" fillId="0" borderId="2" xfId="1" applyFont="1" applyBorder="1" applyAlignment="1" applyProtection="1">
      <alignment horizontal="center" vertical="center" wrapText="1"/>
      <protection locked="0"/>
    </xf>
    <xf numFmtId="0" fontId="6" fillId="0" borderId="13" xfId="1" applyFont="1" applyBorder="1" applyAlignment="1" applyProtection="1">
      <alignment horizontal="center" vertical="center" wrapText="1"/>
      <protection locked="0"/>
    </xf>
    <xf numFmtId="0" fontId="6" fillId="0" borderId="8" xfId="1" applyFont="1" applyBorder="1" applyAlignment="1" applyProtection="1">
      <alignment horizontal="center" vertical="center" wrapText="1"/>
      <protection locked="0"/>
    </xf>
    <xf numFmtId="0" fontId="28" fillId="0" borderId="20" xfId="1" applyFont="1" applyBorder="1" applyAlignment="1" applyProtection="1">
      <alignment horizontal="center" vertical="center" wrapText="1"/>
      <protection locked="0"/>
    </xf>
    <xf numFmtId="0" fontId="28" fillId="0" borderId="21" xfId="1" applyFont="1" applyBorder="1" applyAlignment="1" applyProtection="1">
      <alignment horizontal="center" vertical="center" wrapText="1"/>
      <protection locked="0"/>
    </xf>
    <xf numFmtId="0" fontId="28" fillId="0" borderId="8" xfId="1" applyFont="1" applyBorder="1" applyAlignment="1" applyProtection="1">
      <alignment horizontal="center" vertical="center" wrapText="1"/>
      <protection locked="0"/>
    </xf>
    <xf numFmtId="0" fontId="0" fillId="3" borderId="0" xfId="0" applyFill="1"/>
    <xf numFmtId="0" fontId="7" fillId="0" borderId="0" xfId="5" applyFont="1" applyAlignment="1" applyProtection="1">
      <alignment vertical="center"/>
      <protection locked="0"/>
    </xf>
    <xf numFmtId="0" fontId="20" fillId="0" borderId="0" xfId="1" applyFont="1" applyAlignment="1" applyProtection="1">
      <alignment vertical="center"/>
      <protection locked="0"/>
    </xf>
    <xf numFmtId="0" fontId="12" fillId="0" borderId="0" xfId="5" applyFont="1" applyAlignment="1">
      <alignment vertical="center"/>
    </xf>
    <xf numFmtId="0" fontId="6" fillId="0" borderId="0" xfId="5" applyFont="1" applyAlignment="1">
      <alignment vertical="center"/>
    </xf>
    <xf numFmtId="0" fontId="6" fillId="0" borderId="0" xfId="5" applyFont="1" applyAlignment="1" applyProtection="1">
      <alignment vertical="center"/>
      <protection locked="0"/>
    </xf>
    <xf numFmtId="0" fontId="20" fillId="0" borderId="0" xfId="5" applyFont="1" applyAlignment="1" applyProtection="1">
      <alignment vertical="center"/>
      <protection locked="0"/>
    </xf>
    <xf numFmtId="0" fontId="6" fillId="0" borderId="0" xfId="5" applyFont="1" applyFill="1" applyAlignment="1" applyProtection="1">
      <alignment horizontal="right" vertical="center"/>
      <protection locked="0"/>
    </xf>
    <xf numFmtId="0" fontId="8" fillId="0" borderId="0" xfId="5" applyFont="1" applyAlignment="1">
      <alignment vertical="center"/>
    </xf>
    <xf numFmtId="0" fontId="23" fillId="0" borderId="0" xfId="0" applyFont="1" applyAlignment="1">
      <alignment vertical="center"/>
    </xf>
    <xf numFmtId="0" fontId="12" fillId="0" borderId="22" xfId="0" applyFont="1" applyFill="1" applyBorder="1" applyAlignment="1">
      <alignment horizontal="center" vertical="center"/>
    </xf>
    <xf numFmtId="0" fontId="0" fillId="0" borderId="0" xfId="0" applyAlignment="1">
      <alignment horizontal="right" vertical="center"/>
    </xf>
    <xf numFmtId="0" fontId="0" fillId="0" borderId="0" xfId="0" applyFont="1" applyAlignment="1">
      <alignment vertical="center"/>
    </xf>
    <xf numFmtId="0" fontId="0" fillId="0" borderId="0" xfId="0" applyFont="1" applyFill="1" applyBorder="1" applyAlignment="1">
      <alignment vertical="center"/>
    </xf>
    <xf numFmtId="0" fontId="0" fillId="0" borderId="0" xfId="0" applyFont="1" applyAlignment="1">
      <alignment horizontal="right" vertical="center"/>
    </xf>
    <xf numFmtId="0" fontId="28" fillId="2" borderId="1" xfId="1" applyFont="1" applyFill="1" applyBorder="1" applyAlignment="1" applyProtection="1">
      <alignment horizontal="center" vertical="center" wrapText="1"/>
      <protection locked="0"/>
    </xf>
    <xf numFmtId="0" fontId="37" fillId="0" borderId="0" xfId="0" applyFont="1" applyAlignment="1">
      <alignment horizontal="right" vertical="center"/>
    </xf>
    <xf numFmtId="0" fontId="0" fillId="0" borderId="0" xfId="0" applyFont="1" applyFill="1" applyBorder="1" applyAlignment="1">
      <alignment horizontal="center" vertical="center"/>
    </xf>
    <xf numFmtId="0" fontId="0" fillId="0" borderId="0" xfId="0" applyFont="1" applyFill="1" applyAlignment="1">
      <alignment vertical="center"/>
    </xf>
    <xf numFmtId="0" fontId="14" fillId="0" borderId="0" xfId="5" applyFont="1" applyFill="1" applyBorder="1" applyAlignment="1">
      <alignment horizontal="center" vertical="center"/>
    </xf>
    <xf numFmtId="0" fontId="22" fillId="0" borderId="0" xfId="1" applyFont="1" applyFill="1" applyBorder="1" applyAlignment="1" applyProtection="1">
      <alignment vertical="center"/>
      <protection locked="0"/>
    </xf>
    <xf numFmtId="0" fontId="22" fillId="0" borderId="0" xfId="5" applyFont="1" applyFill="1" applyBorder="1" applyAlignment="1">
      <alignment vertical="center"/>
    </xf>
    <xf numFmtId="0" fontId="22" fillId="0" borderId="0" xfId="5" applyFont="1" applyFill="1" applyAlignment="1">
      <alignment vertical="center"/>
    </xf>
    <xf numFmtId="0" fontId="8" fillId="0" borderId="0" xfId="5" applyFont="1" applyFill="1" applyAlignment="1">
      <alignment vertical="center"/>
    </xf>
    <xf numFmtId="0" fontId="21" fillId="0" borderId="0" xfId="0" applyFont="1" applyFill="1" applyBorder="1" applyAlignment="1">
      <alignment horizontal="left" vertical="center"/>
    </xf>
    <xf numFmtId="0" fontId="6" fillId="0" borderId="0" xfId="1" applyFont="1" applyFill="1" applyAlignment="1" applyProtection="1">
      <alignment horizontal="left" vertical="center"/>
      <protection locked="0"/>
    </xf>
    <xf numFmtId="3" fontId="0" fillId="3" borderId="0" xfId="0" applyNumberFormat="1" applyFill="1" applyAlignment="1">
      <alignment horizontal="right"/>
    </xf>
    <xf numFmtId="3" fontId="0" fillId="0" borderId="0" xfId="0" applyNumberFormat="1" applyAlignment="1">
      <alignment horizontal="right" vertical="center"/>
    </xf>
    <xf numFmtId="3" fontId="6" fillId="0" borderId="0" xfId="5" applyNumberFormat="1" applyFont="1" applyAlignment="1">
      <alignment horizontal="right" vertical="center"/>
    </xf>
    <xf numFmtId="3" fontId="22" fillId="0" borderId="0" xfId="5" applyNumberFormat="1" applyFont="1" applyAlignment="1">
      <alignment horizontal="right" vertical="center"/>
    </xf>
    <xf numFmtId="0" fontId="12" fillId="0" borderId="0" xfId="0" applyFont="1" applyAlignment="1">
      <alignment horizontal="left" vertical="center" wrapText="1"/>
    </xf>
    <xf numFmtId="0" fontId="28" fillId="0" borderId="9" xfId="1" applyFont="1" applyBorder="1" applyAlignment="1" applyProtection="1">
      <alignment horizontal="center" vertical="center" wrapText="1"/>
      <protection locked="0"/>
    </xf>
    <xf numFmtId="0" fontId="28" fillId="0" borderId="14" xfId="1" applyFont="1" applyBorder="1" applyAlignment="1" applyProtection="1">
      <alignment horizontal="center" vertical="center"/>
      <protection locked="0"/>
    </xf>
    <xf numFmtId="0" fontId="6" fillId="0" borderId="23" xfId="1" applyFont="1" applyBorder="1" applyAlignment="1" applyProtection="1">
      <alignment vertical="center" wrapText="1"/>
      <protection locked="0"/>
    </xf>
    <xf numFmtId="4" fontId="6" fillId="0" borderId="24" xfId="1" applyNumberFormat="1" applyFont="1" applyBorder="1" applyAlignment="1" applyProtection="1">
      <alignment vertical="center" wrapText="1"/>
      <protection locked="0"/>
    </xf>
    <xf numFmtId="4" fontId="6" fillId="0" borderId="25" xfId="1" applyNumberFormat="1" applyFont="1" applyBorder="1" applyAlignment="1" applyProtection="1">
      <alignment vertical="center" wrapText="1"/>
      <protection locked="0"/>
    </xf>
    <xf numFmtId="4" fontId="6" fillId="0" borderId="26" xfId="1" applyNumberFormat="1" applyFont="1" applyBorder="1" applyAlignment="1" applyProtection="1">
      <alignment vertical="center" wrapText="1"/>
      <protection hidden="1"/>
    </xf>
    <xf numFmtId="0" fontId="6" fillId="0" borderId="27" xfId="1" applyFont="1" applyBorder="1" applyAlignment="1" applyProtection="1">
      <alignment horizontal="left" vertical="center" wrapText="1"/>
      <protection locked="0"/>
    </xf>
    <xf numFmtId="4" fontId="6" fillId="0" borderId="16" xfId="1" applyNumberFormat="1" applyFont="1" applyBorder="1" applyAlignment="1" applyProtection="1">
      <alignment vertical="center" wrapText="1"/>
      <protection locked="0"/>
    </xf>
    <xf numFmtId="4" fontId="6" fillId="0" borderId="2" xfId="1" applyNumberFormat="1" applyFont="1" applyBorder="1" applyAlignment="1" applyProtection="1">
      <alignment vertical="center" wrapText="1"/>
      <protection locked="0"/>
    </xf>
    <xf numFmtId="0" fontId="32" fillId="0" borderId="0" xfId="1" applyFont="1" applyAlignment="1" applyProtection="1">
      <alignment vertical="center"/>
      <protection locked="0"/>
    </xf>
    <xf numFmtId="0" fontId="6" fillId="0" borderId="28" xfId="1" applyFont="1" applyBorder="1" applyAlignment="1" applyProtection="1">
      <alignment horizontal="left" vertical="center" wrapText="1"/>
      <protection locked="0"/>
    </xf>
    <xf numFmtId="4" fontId="6" fillId="0" borderId="29" xfId="1" applyNumberFormat="1" applyFont="1" applyBorder="1" applyAlignment="1" applyProtection="1">
      <alignment vertical="center" wrapText="1"/>
      <protection locked="0"/>
    </xf>
    <xf numFmtId="4" fontId="6" fillId="0" borderId="30" xfId="1" applyNumberFormat="1" applyFont="1" applyBorder="1" applyAlignment="1" applyProtection="1">
      <alignment vertical="center" wrapText="1"/>
      <protection locked="0"/>
    </xf>
    <xf numFmtId="0" fontId="8" fillId="0" borderId="3" xfId="1" applyFont="1" applyBorder="1" applyAlignment="1" applyProtection="1">
      <alignment horizontal="left" vertical="center" wrapText="1"/>
      <protection locked="0"/>
    </xf>
    <xf numFmtId="4" fontId="6" fillId="0" borderId="31" xfId="1" applyNumberFormat="1" applyFont="1" applyBorder="1" applyAlignment="1" applyProtection="1">
      <alignment vertical="center" wrapText="1"/>
      <protection hidden="1"/>
    </xf>
    <xf numFmtId="4" fontId="6" fillId="0" borderId="19" xfId="1" applyNumberFormat="1" applyFont="1" applyBorder="1" applyAlignment="1" applyProtection="1">
      <alignment vertical="center" wrapText="1"/>
      <protection hidden="1"/>
    </xf>
    <xf numFmtId="0" fontId="7" fillId="3" borderId="0" xfId="1" applyFont="1" applyFill="1" applyAlignment="1" applyProtection="1">
      <alignment vertical="center"/>
      <protection locked="0"/>
    </xf>
    <xf numFmtId="0" fontId="6" fillId="3" borderId="0" xfId="1" applyFont="1" applyFill="1" applyAlignment="1">
      <alignment vertical="center"/>
    </xf>
    <xf numFmtId="0" fontId="20" fillId="3" borderId="0" xfId="1" applyFont="1" applyFill="1" applyAlignment="1">
      <alignment vertical="center"/>
    </xf>
    <xf numFmtId="0" fontId="6" fillId="3" borderId="0" xfId="1" applyFont="1" applyFill="1" applyAlignment="1">
      <alignment horizontal="center" vertical="center"/>
    </xf>
    <xf numFmtId="0" fontId="6" fillId="0" borderId="14"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8" xfId="1" applyFont="1" applyFill="1" applyBorder="1" applyAlignment="1">
      <alignment horizontal="center" vertical="center"/>
    </xf>
    <xf numFmtId="0" fontId="15" fillId="0" borderId="7" xfId="1" applyFont="1" applyFill="1" applyBorder="1" applyAlignment="1">
      <alignment horizontal="center" vertical="center"/>
    </xf>
    <xf numFmtId="0" fontId="15" fillId="0" borderId="9" xfId="1" applyFont="1" applyFill="1" applyBorder="1" applyAlignment="1">
      <alignment horizontal="center" vertical="center"/>
    </xf>
    <xf numFmtId="0" fontId="15" fillId="0" borderId="1" xfId="1" applyFont="1" applyFill="1" applyBorder="1" applyAlignment="1">
      <alignment horizontal="center" vertical="center"/>
    </xf>
    <xf numFmtId="0" fontId="6" fillId="4" borderId="32" xfId="1" applyFont="1" applyFill="1" applyBorder="1" applyAlignment="1">
      <alignment horizontal="center" vertical="center"/>
    </xf>
    <xf numFmtId="3" fontId="6" fillId="4" borderId="32" xfId="1" applyNumberFormat="1" applyFont="1" applyFill="1" applyBorder="1" applyAlignment="1">
      <alignment horizontal="right" vertical="center"/>
    </xf>
    <xf numFmtId="3" fontId="6" fillId="4" borderId="33" xfId="1" applyNumberFormat="1" applyFont="1" applyFill="1" applyBorder="1" applyAlignment="1">
      <alignment horizontal="right" vertical="center"/>
    </xf>
    <xf numFmtId="3" fontId="6" fillId="4" borderId="34" xfId="1" applyNumberFormat="1" applyFont="1" applyFill="1" applyBorder="1" applyAlignment="1">
      <alignment horizontal="right" vertical="center"/>
    </xf>
    <xf numFmtId="0" fontId="6" fillId="5" borderId="35" xfId="1" applyFont="1" applyFill="1" applyBorder="1" applyAlignment="1">
      <alignment vertical="center"/>
    </xf>
    <xf numFmtId="0" fontId="6" fillId="5" borderId="36" xfId="1" applyFont="1" applyFill="1" applyBorder="1" applyAlignment="1">
      <alignment horizontal="center" vertical="center"/>
    </xf>
    <xf numFmtId="3" fontId="6" fillId="5" borderId="36" xfId="1" applyNumberFormat="1" applyFont="1" applyFill="1" applyBorder="1" applyAlignment="1">
      <alignment horizontal="right" vertical="center"/>
    </xf>
    <xf numFmtId="3" fontId="6" fillId="5" borderId="37" xfId="1" applyNumberFormat="1" applyFont="1" applyFill="1" applyBorder="1" applyAlignment="1">
      <alignment horizontal="right" vertical="center"/>
    </xf>
    <xf numFmtId="3" fontId="6" fillId="5" borderId="38" xfId="1" applyNumberFormat="1" applyFont="1" applyFill="1" applyBorder="1" applyAlignment="1">
      <alignment horizontal="right" vertical="center"/>
    </xf>
    <xf numFmtId="0" fontId="6" fillId="6" borderId="35" xfId="1" applyFont="1" applyFill="1" applyBorder="1" applyAlignment="1">
      <alignment vertical="center"/>
    </xf>
    <xf numFmtId="0" fontId="6" fillId="6" borderId="39" xfId="1" applyFont="1" applyFill="1" applyBorder="1" applyAlignment="1">
      <alignment vertical="center"/>
    </xf>
    <xf numFmtId="0" fontId="6" fillId="6" borderId="39" xfId="4" applyFont="1" applyFill="1" applyBorder="1" applyAlignment="1">
      <alignment horizontal="right" vertical="center"/>
    </xf>
    <xf numFmtId="0" fontId="6" fillId="6" borderId="39" xfId="4" applyFont="1" applyFill="1" applyBorder="1" applyAlignment="1">
      <alignment horizontal="left" vertical="center"/>
    </xf>
    <xf numFmtId="0" fontId="6" fillId="6" borderId="40" xfId="1" applyFont="1" applyFill="1" applyBorder="1" applyAlignment="1">
      <alignment vertical="center"/>
    </xf>
    <xf numFmtId="0" fontId="6" fillId="6" borderId="36" xfId="1" applyFont="1" applyFill="1" applyBorder="1" applyAlignment="1">
      <alignment horizontal="center" vertical="center"/>
    </xf>
    <xf numFmtId="3" fontId="6" fillId="6" borderId="36" xfId="1" applyNumberFormat="1" applyFont="1" applyFill="1" applyBorder="1" applyAlignment="1">
      <alignment horizontal="right" vertical="center"/>
    </xf>
    <xf numFmtId="3" fontId="6" fillId="6" borderId="37" xfId="1" applyNumberFormat="1" applyFont="1" applyFill="1" applyBorder="1" applyAlignment="1">
      <alignment horizontal="right" vertical="center"/>
    </xf>
    <xf numFmtId="3" fontId="6" fillId="6" borderId="38" xfId="1" applyNumberFormat="1" applyFont="1" applyFill="1" applyBorder="1" applyAlignment="1">
      <alignment horizontal="right" vertical="center"/>
    </xf>
    <xf numFmtId="0" fontId="6" fillId="3" borderId="35" xfId="1" applyFont="1" applyFill="1" applyBorder="1" applyAlignment="1">
      <alignment vertical="center"/>
    </xf>
    <xf numFmtId="0" fontId="6" fillId="3" borderId="39" xfId="1" applyFont="1" applyFill="1" applyBorder="1" applyAlignment="1">
      <alignment vertical="center"/>
    </xf>
    <xf numFmtId="0" fontId="6" fillId="3" borderId="40" xfId="1" applyFont="1" applyFill="1" applyBorder="1" applyAlignment="1">
      <alignment vertical="center"/>
    </xf>
    <xf numFmtId="0" fontId="6" fillId="3" borderId="36" xfId="1" applyFont="1" applyFill="1" applyBorder="1" applyAlignment="1">
      <alignment horizontal="center" vertical="center"/>
    </xf>
    <xf numFmtId="3" fontId="6" fillId="3" borderId="36" xfId="1" applyNumberFormat="1" applyFont="1" applyFill="1" applyBorder="1" applyAlignment="1">
      <alignment horizontal="right" vertical="center"/>
    </xf>
    <xf numFmtId="3" fontId="6" fillId="3" borderId="37" xfId="1" applyNumberFormat="1" applyFont="1" applyFill="1" applyBorder="1" applyAlignment="1">
      <alignment horizontal="right" vertical="center"/>
    </xf>
    <xf numFmtId="3" fontId="6" fillId="3" borderId="38" xfId="1" applyNumberFormat="1" applyFont="1" applyFill="1" applyBorder="1" applyAlignment="1">
      <alignment horizontal="right" vertical="center"/>
    </xf>
    <xf numFmtId="0" fontId="6" fillId="7" borderId="35" xfId="1" applyFont="1" applyFill="1" applyBorder="1" applyAlignment="1">
      <alignment vertical="center"/>
    </xf>
    <xf numFmtId="0" fontId="6" fillId="0" borderId="36" xfId="1" applyFont="1" applyFill="1" applyBorder="1" applyAlignment="1">
      <alignment horizontal="center" vertical="center"/>
    </xf>
    <xf numFmtId="3" fontId="6" fillId="0" borderId="36" xfId="1" applyNumberFormat="1" applyFont="1" applyFill="1" applyBorder="1" applyAlignment="1">
      <alignment horizontal="right" vertical="center"/>
    </xf>
    <xf numFmtId="3" fontId="6" fillId="0" borderId="37" xfId="1" applyNumberFormat="1" applyFont="1" applyFill="1" applyBorder="1" applyAlignment="1">
      <alignment horizontal="right" vertical="center"/>
    </xf>
    <xf numFmtId="3" fontId="6" fillId="0" borderId="38" xfId="1" applyNumberFormat="1" applyFont="1" applyFill="1" applyBorder="1" applyAlignment="1">
      <alignment horizontal="right" vertical="center"/>
    </xf>
    <xf numFmtId="0" fontId="6" fillId="8" borderId="35" xfId="1" applyFont="1" applyFill="1" applyBorder="1" applyAlignment="1">
      <alignment vertical="center"/>
    </xf>
    <xf numFmtId="0" fontId="6" fillId="0" borderId="0" xfId="1" applyFont="1" applyFill="1" applyAlignment="1">
      <alignment vertical="center"/>
    </xf>
    <xf numFmtId="0" fontId="6" fillId="9" borderId="35" xfId="1" applyFont="1" applyFill="1" applyBorder="1" applyAlignment="1">
      <alignment vertical="center"/>
    </xf>
    <xf numFmtId="0" fontId="6" fillId="10" borderId="35" xfId="1" applyFont="1" applyFill="1" applyBorder="1" applyAlignment="1">
      <alignment vertical="center"/>
    </xf>
    <xf numFmtId="0" fontId="6" fillId="7" borderId="39" xfId="1" applyFont="1" applyFill="1" applyBorder="1" applyAlignment="1">
      <alignment vertical="center"/>
    </xf>
    <xf numFmtId="0" fontId="6" fillId="0" borderId="39" xfId="1" applyFont="1" applyFill="1" applyBorder="1" applyAlignment="1">
      <alignment vertical="center"/>
    </xf>
    <xf numFmtId="0" fontId="6" fillId="0" borderId="40" xfId="1" applyFont="1" applyFill="1" applyBorder="1" applyAlignment="1">
      <alignment vertical="center"/>
    </xf>
    <xf numFmtId="0" fontId="6" fillId="10" borderId="41" xfId="1" applyFont="1" applyFill="1" applyBorder="1" applyAlignment="1">
      <alignment vertical="center"/>
    </xf>
    <xf numFmtId="0" fontId="6" fillId="3" borderId="42" xfId="1" applyFont="1" applyFill="1" applyBorder="1" applyAlignment="1">
      <alignment vertical="center"/>
    </xf>
    <xf numFmtId="0" fontId="6" fillId="0" borderId="42" xfId="1" applyFont="1" applyFill="1" applyBorder="1" applyAlignment="1">
      <alignment vertical="center"/>
    </xf>
    <xf numFmtId="0" fontId="6" fillId="0" borderId="43" xfId="1" applyFont="1" applyFill="1" applyBorder="1" applyAlignment="1">
      <alignment vertical="center"/>
    </xf>
    <xf numFmtId="0" fontId="6" fillId="3" borderId="44" xfId="1" applyFont="1" applyFill="1" applyBorder="1" applyAlignment="1">
      <alignment horizontal="center" vertical="center"/>
    </xf>
    <xf numFmtId="3" fontId="6" fillId="0" borderId="44" xfId="1" applyNumberFormat="1" applyFont="1" applyFill="1" applyBorder="1" applyAlignment="1">
      <alignment horizontal="right" vertical="center"/>
    </xf>
    <xf numFmtId="3" fontId="6" fillId="0" borderId="45" xfId="1" applyNumberFormat="1" applyFont="1" applyFill="1" applyBorder="1" applyAlignment="1">
      <alignment horizontal="right" vertical="center"/>
    </xf>
    <xf numFmtId="3" fontId="6" fillId="0" borderId="46" xfId="1" applyNumberFormat="1" applyFont="1" applyFill="1" applyBorder="1" applyAlignment="1">
      <alignment horizontal="right" vertical="center"/>
    </xf>
    <xf numFmtId="0" fontId="6" fillId="3" borderId="39" xfId="4" applyFont="1" applyFill="1" applyBorder="1" applyAlignment="1">
      <alignment horizontal="right" vertical="center"/>
    </xf>
    <xf numFmtId="0" fontId="6" fillId="3" borderId="39" xfId="1" applyFont="1" applyFill="1" applyBorder="1" applyAlignment="1">
      <alignment horizontal="right" vertical="center"/>
    </xf>
    <xf numFmtId="0" fontId="6" fillId="3" borderId="39" xfId="4" applyFont="1" applyFill="1" applyBorder="1" applyAlignment="1">
      <alignment horizontal="left" vertical="center"/>
    </xf>
    <xf numFmtId="0" fontId="6" fillId="4" borderId="47" xfId="1" applyFont="1" applyFill="1" applyBorder="1" applyAlignment="1">
      <alignment horizontal="center" vertical="center"/>
    </xf>
    <xf numFmtId="3" fontId="6" fillId="4" borderId="36" xfId="1" applyNumberFormat="1" applyFont="1" applyFill="1" applyBorder="1" applyAlignment="1">
      <alignment horizontal="right" vertical="center"/>
    </xf>
    <xf numFmtId="3" fontId="6" fillId="4" borderId="37" xfId="1" applyNumberFormat="1" applyFont="1" applyFill="1" applyBorder="1" applyAlignment="1">
      <alignment horizontal="right" vertical="center"/>
    </xf>
    <xf numFmtId="3" fontId="6" fillId="4" borderId="38" xfId="1" applyNumberFormat="1" applyFont="1" applyFill="1" applyBorder="1" applyAlignment="1">
      <alignment horizontal="right" vertical="center"/>
    </xf>
    <xf numFmtId="0" fontId="6" fillId="3" borderId="41" xfId="1" applyFont="1" applyFill="1" applyBorder="1" applyAlignment="1">
      <alignment vertical="center"/>
    </xf>
    <xf numFmtId="0" fontId="6" fillId="3" borderId="43" xfId="1" applyFont="1" applyFill="1" applyBorder="1" applyAlignment="1">
      <alignment vertical="center"/>
    </xf>
    <xf numFmtId="0" fontId="6" fillId="0" borderId="44" xfId="1" applyFont="1" applyFill="1" applyBorder="1" applyAlignment="1">
      <alignment horizontal="center" vertical="center"/>
    </xf>
    <xf numFmtId="0" fontId="12" fillId="0" borderId="0" xfId="0" applyFont="1" applyAlignment="1">
      <alignment vertical="center"/>
    </xf>
    <xf numFmtId="0" fontId="12" fillId="0" borderId="14" xfId="0" applyFont="1" applyBorder="1" applyAlignment="1">
      <alignment horizontal="center" vertical="center"/>
    </xf>
    <xf numFmtId="0" fontId="12" fillId="0" borderId="2" xfId="0" applyFont="1" applyBorder="1" applyAlignment="1">
      <alignment horizontal="center" vertical="center"/>
    </xf>
    <xf numFmtId="0" fontId="12" fillId="0" borderId="16" xfId="0" applyFont="1" applyBorder="1" applyAlignment="1">
      <alignment horizontal="center" vertical="center"/>
    </xf>
    <xf numFmtId="0" fontId="12" fillId="0" borderId="2" xfId="0" applyFont="1" applyBorder="1" applyAlignment="1">
      <alignment horizontal="center" vertical="center" wrapText="1" shrinkToFit="1"/>
    </xf>
    <xf numFmtId="0" fontId="12" fillId="0" borderId="7" xfId="0" applyFont="1" applyBorder="1" applyAlignment="1">
      <alignment horizontal="center" vertical="center" wrapText="1" shrinkToFit="1"/>
    </xf>
    <xf numFmtId="0" fontId="12" fillId="0" borderId="9" xfId="0" applyFont="1" applyBorder="1" applyAlignment="1">
      <alignment horizontal="center" vertical="center" wrapText="1" shrinkToFit="1"/>
    </xf>
    <xf numFmtId="0" fontId="12" fillId="0" borderId="9" xfId="0" applyFont="1" applyFill="1" applyBorder="1" applyAlignment="1">
      <alignment horizontal="center" vertical="center" wrapText="1" shrinkToFit="1"/>
    </xf>
    <xf numFmtId="0" fontId="12" fillId="0" borderId="48" xfId="0" applyFont="1" applyFill="1" applyBorder="1" applyAlignment="1">
      <alignment horizontal="center" vertical="center" wrapText="1" shrinkToFit="1"/>
    </xf>
    <xf numFmtId="0" fontId="12" fillId="0" borderId="1" xfId="0" applyFont="1" applyFill="1" applyBorder="1" applyAlignment="1">
      <alignment horizontal="center" vertical="center" wrapText="1" shrinkToFit="1"/>
    </xf>
    <xf numFmtId="0" fontId="12" fillId="0" borderId="7" xfId="0" applyFont="1" applyFill="1" applyBorder="1" applyAlignment="1">
      <alignment horizontal="center" vertical="center" wrapText="1" shrinkToFit="1"/>
    </xf>
    <xf numFmtId="0" fontId="13" fillId="2" borderId="14" xfId="0" applyFont="1" applyFill="1" applyBorder="1" applyAlignment="1">
      <alignment horizontal="center" vertical="center"/>
    </xf>
    <xf numFmtId="0" fontId="13" fillId="2" borderId="0" xfId="0" applyFont="1" applyFill="1" applyBorder="1" applyAlignment="1">
      <alignment horizontal="center" vertical="center"/>
    </xf>
    <xf numFmtId="0" fontId="13" fillId="2" borderId="49" xfId="0" applyFont="1" applyFill="1" applyBorder="1" applyAlignment="1">
      <alignment horizontal="center" vertical="center"/>
    </xf>
    <xf numFmtId="3" fontId="13" fillId="0" borderId="0" xfId="0" applyNumberFormat="1" applyFont="1" applyAlignment="1">
      <alignment horizontal="right" vertical="center"/>
    </xf>
    <xf numFmtId="0" fontId="13" fillId="0" borderId="0" xfId="0" applyFont="1" applyAlignment="1">
      <alignment vertical="center"/>
    </xf>
    <xf numFmtId="0" fontId="12" fillId="0" borderId="14" xfId="0" applyFont="1" applyFill="1" applyBorder="1" applyAlignment="1">
      <alignment horizontal="center" vertical="center"/>
    </xf>
    <xf numFmtId="0" fontId="13" fillId="2" borderId="8" xfId="0" applyFont="1" applyFill="1" applyBorder="1" applyAlignment="1">
      <alignment horizontal="left" vertical="center"/>
    </xf>
    <xf numFmtId="3" fontId="6" fillId="2" borderId="2" xfId="1" applyNumberFormat="1" applyFont="1" applyFill="1" applyBorder="1" applyAlignment="1">
      <alignment horizontal="right" vertical="center"/>
    </xf>
    <xf numFmtId="3" fontId="6" fillId="2" borderId="8" xfId="1" applyNumberFormat="1" applyFont="1" applyFill="1" applyBorder="1" applyAlignment="1">
      <alignment horizontal="right" vertical="center"/>
    </xf>
    <xf numFmtId="3" fontId="12" fillId="0" borderId="0" xfId="0" applyNumberFormat="1" applyFont="1" applyAlignment="1">
      <alignment horizontal="right" vertical="center"/>
    </xf>
    <xf numFmtId="3" fontId="6" fillId="2" borderId="14" xfId="1" applyNumberFormat="1" applyFont="1" applyFill="1" applyBorder="1" applyAlignment="1">
      <alignment horizontal="right" vertical="center"/>
    </xf>
    <xf numFmtId="0" fontId="12" fillId="0" borderId="50" xfId="0" applyFont="1" applyFill="1" applyBorder="1" applyAlignment="1">
      <alignment horizontal="center" vertical="center"/>
    </xf>
    <xf numFmtId="0" fontId="12" fillId="0" borderId="18" xfId="0" applyFont="1" applyFill="1" applyBorder="1" applyAlignment="1">
      <alignment vertical="center"/>
    </xf>
    <xf numFmtId="3" fontId="6" fillId="0" borderId="2" xfId="1" applyNumberFormat="1" applyFont="1" applyFill="1" applyBorder="1" applyAlignment="1">
      <alignment horizontal="right" vertical="center"/>
    </xf>
    <xf numFmtId="3" fontId="6" fillId="0" borderId="51" xfId="1" applyNumberFormat="1" applyFont="1" applyFill="1" applyBorder="1" applyAlignment="1">
      <alignment horizontal="right" vertical="center"/>
    </xf>
    <xf numFmtId="3" fontId="6" fillId="0" borderId="8" xfId="1" applyNumberFormat="1" applyFont="1" applyFill="1" applyBorder="1" applyAlignment="1">
      <alignment horizontal="right" vertical="center"/>
    </xf>
    <xf numFmtId="3" fontId="6" fillId="0" borderId="14" xfId="1" applyNumberFormat="1" applyFont="1" applyFill="1" applyBorder="1" applyAlignment="1">
      <alignment horizontal="right" vertical="center"/>
    </xf>
    <xf numFmtId="0" fontId="6" fillId="0" borderId="50" xfId="0" applyFont="1" applyFill="1" applyBorder="1" applyAlignment="1">
      <alignment horizontal="center" vertical="center"/>
    </xf>
    <xf numFmtId="0" fontId="6" fillId="0" borderId="18" xfId="0" applyFont="1" applyFill="1" applyBorder="1" applyAlignment="1">
      <alignment vertical="center"/>
    </xf>
    <xf numFmtId="0" fontId="12" fillId="0" borderId="49" xfId="0" applyFont="1" applyFill="1" applyBorder="1" applyAlignment="1">
      <alignment vertical="center"/>
    </xf>
    <xf numFmtId="0" fontId="12" fillId="0" borderId="52" xfId="0" applyFont="1" applyFill="1" applyBorder="1" applyAlignment="1">
      <alignment vertical="center"/>
    </xf>
    <xf numFmtId="0" fontId="13" fillId="2" borderId="50" xfId="0" applyFont="1" applyFill="1" applyBorder="1" applyAlignment="1">
      <alignment horizontal="left" vertical="center"/>
    </xf>
    <xf numFmtId="0" fontId="6" fillId="0" borderId="14" xfId="0" applyFont="1" applyBorder="1" applyAlignment="1">
      <alignment horizontal="center" vertical="center"/>
    </xf>
    <xf numFmtId="0" fontId="0" fillId="0" borderId="0" xfId="0" applyFill="1" applyAlignment="1">
      <alignment vertical="center"/>
    </xf>
    <xf numFmtId="0" fontId="13" fillId="0" borderId="14" xfId="0" applyFont="1" applyFill="1" applyBorder="1" applyAlignment="1">
      <alignment horizontal="center" vertical="center"/>
    </xf>
    <xf numFmtId="0" fontId="13" fillId="0" borderId="2" xfId="0" applyFont="1" applyFill="1" applyBorder="1" applyAlignment="1">
      <alignment horizontal="center" vertical="center"/>
    </xf>
    <xf numFmtId="3" fontId="6" fillId="2" borderId="53" xfId="1" applyNumberFormat="1" applyFont="1" applyFill="1" applyBorder="1" applyAlignment="1">
      <alignment horizontal="right" vertical="center"/>
    </xf>
    <xf numFmtId="3" fontId="6" fillId="2" borderId="16" xfId="1" applyNumberFormat="1" applyFont="1" applyFill="1" applyBorder="1" applyAlignment="1">
      <alignment horizontal="right" vertical="center"/>
    </xf>
    <xf numFmtId="3" fontId="12" fillId="0" borderId="54" xfId="0" applyNumberFormat="1" applyFont="1" applyFill="1" applyBorder="1" applyAlignment="1">
      <alignment horizontal="right" vertical="center"/>
    </xf>
    <xf numFmtId="0" fontId="13" fillId="3" borderId="14" xfId="0" applyFont="1" applyFill="1" applyBorder="1" applyAlignment="1">
      <alignment horizontal="center" vertical="center"/>
    </xf>
    <xf numFmtId="0" fontId="24" fillId="0" borderId="8" xfId="0" applyFont="1" applyBorder="1" applyAlignment="1">
      <alignment horizontal="right" vertical="center" wrapText="1"/>
    </xf>
    <xf numFmtId="3" fontId="6" fillId="0" borderId="16" xfId="0" applyNumberFormat="1" applyFont="1" applyFill="1" applyBorder="1" applyAlignment="1">
      <alignment horizontal="right" vertical="center"/>
    </xf>
    <xf numFmtId="3" fontId="6" fillId="0" borderId="2" xfId="0" applyNumberFormat="1" applyFont="1" applyFill="1" applyBorder="1" applyAlignment="1">
      <alignment horizontal="right" vertical="center"/>
    </xf>
    <xf numFmtId="3" fontId="6" fillId="0" borderId="53" xfId="1" applyNumberFormat="1" applyFont="1" applyFill="1" applyBorder="1" applyAlignment="1">
      <alignment horizontal="right" vertical="center"/>
    </xf>
    <xf numFmtId="3" fontId="6" fillId="0" borderId="54" xfId="0" applyNumberFormat="1" applyFont="1" applyFill="1" applyBorder="1" applyAlignment="1">
      <alignment horizontal="right" vertical="center"/>
    </xf>
    <xf numFmtId="3" fontId="6" fillId="0" borderId="14" xfId="0" applyNumberFormat="1" applyFont="1" applyFill="1" applyBorder="1" applyAlignment="1">
      <alignment horizontal="right" vertical="center"/>
    </xf>
    <xf numFmtId="3" fontId="8" fillId="3" borderId="0" xfId="0" applyNumberFormat="1" applyFont="1" applyFill="1" applyAlignment="1">
      <alignment horizontal="right" vertical="center"/>
    </xf>
    <xf numFmtId="0" fontId="13" fillId="0" borderId="2" xfId="0" applyFont="1" applyFill="1" applyBorder="1" applyAlignment="1">
      <alignment horizontal="left" vertical="center"/>
    </xf>
    <xf numFmtId="3" fontId="6" fillId="3" borderId="0" xfId="0" applyNumberFormat="1" applyFont="1" applyFill="1" applyAlignment="1">
      <alignment horizontal="right" vertical="center"/>
    </xf>
    <xf numFmtId="0" fontId="13" fillId="0" borderId="30" xfId="0" applyFont="1" applyFill="1" applyBorder="1" applyAlignment="1">
      <alignment horizontal="left" vertical="center"/>
    </xf>
    <xf numFmtId="0" fontId="13" fillId="2" borderId="56" xfId="0" applyFont="1" applyFill="1" applyBorder="1" applyAlignment="1">
      <alignment horizontal="left" vertical="center"/>
    </xf>
    <xf numFmtId="3" fontId="6" fillId="2" borderId="30" xfId="1" applyNumberFormat="1" applyFont="1" applyFill="1" applyBorder="1" applyAlignment="1">
      <alignment horizontal="right" vertical="center"/>
    </xf>
    <xf numFmtId="0" fontId="12" fillId="0" borderId="57" xfId="0" applyFont="1" applyBorder="1" applyAlignment="1">
      <alignment horizontal="center" vertical="center"/>
    </xf>
    <xf numFmtId="0" fontId="13" fillId="2" borderId="4" xfId="0" applyFont="1" applyFill="1" applyBorder="1" applyAlignment="1">
      <alignment horizontal="center" vertical="center"/>
    </xf>
    <xf numFmtId="0" fontId="21" fillId="2" borderId="58" xfId="0" applyFont="1" applyFill="1" applyBorder="1" applyAlignment="1">
      <alignment horizontal="left" vertical="center"/>
    </xf>
    <xf numFmtId="0" fontId="21" fillId="2" borderId="19" xfId="0" applyFont="1" applyFill="1" applyBorder="1" applyAlignment="1">
      <alignment vertical="center"/>
    </xf>
    <xf numFmtId="3" fontId="8" fillId="2" borderId="5" xfId="1" applyNumberFormat="1" applyFont="1" applyFill="1" applyBorder="1" applyAlignment="1">
      <alignment horizontal="right" vertical="center"/>
    </xf>
    <xf numFmtId="3" fontId="8" fillId="2" borderId="6" xfId="1" applyNumberFormat="1" applyFont="1" applyFill="1" applyBorder="1" applyAlignment="1">
      <alignment horizontal="right" vertical="center"/>
    </xf>
    <xf numFmtId="3" fontId="21" fillId="0" borderId="0" xfId="0" applyNumberFormat="1" applyFont="1" applyAlignment="1">
      <alignment horizontal="right" vertical="center"/>
    </xf>
    <xf numFmtId="3" fontId="8" fillId="2" borderId="4" xfId="1" applyNumberFormat="1" applyFont="1" applyFill="1" applyBorder="1" applyAlignment="1">
      <alignment horizontal="right" vertical="center"/>
    </xf>
    <xf numFmtId="0" fontId="12" fillId="0" borderId="0" xfId="0" applyFont="1" applyFill="1" applyBorder="1" applyAlignment="1">
      <alignment horizontal="center" vertical="center"/>
    </xf>
    <xf numFmtId="0" fontId="34" fillId="0" borderId="0" xfId="0" applyFont="1" applyAlignment="1">
      <alignment vertical="center"/>
    </xf>
    <xf numFmtId="0" fontId="12" fillId="0" borderId="54" xfId="0" applyFont="1" applyFill="1" applyBorder="1" applyAlignment="1">
      <alignment horizontal="center" vertical="center" wrapText="1" shrinkToFit="1"/>
    </xf>
    <xf numFmtId="0" fontId="12" fillId="0" borderId="53" xfId="0" applyFont="1" applyBorder="1" applyAlignment="1">
      <alignment horizontal="center" vertical="center"/>
    </xf>
    <xf numFmtId="0" fontId="12" fillId="0" borderId="10" xfId="0" applyFont="1" applyBorder="1" applyAlignment="1">
      <alignment horizontal="center" vertical="center" wrapText="1" shrinkToFit="1"/>
    </xf>
    <xf numFmtId="0" fontId="12" fillId="0" borderId="59" xfId="0" applyFont="1" applyBorder="1" applyAlignment="1">
      <alignment horizontal="center" vertical="center" wrapText="1" shrinkToFit="1"/>
    </xf>
    <xf numFmtId="0" fontId="12" fillId="0" borderId="60" xfId="0" applyFont="1" applyFill="1" applyBorder="1" applyAlignment="1">
      <alignment horizontal="center" vertical="center" wrapText="1" shrinkToFit="1"/>
    </xf>
    <xf numFmtId="0" fontId="12" fillId="0" borderId="10" xfId="0" applyFont="1" applyFill="1" applyBorder="1" applyAlignment="1">
      <alignment horizontal="center" vertical="center" wrapText="1" shrinkToFit="1"/>
    </xf>
    <xf numFmtId="3" fontId="8" fillId="2" borderId="61" xfId="1" applyNumberFormat="1" applyFont="1" applyFill="1" applyBorder="1" applyAlignment="1">
      <alignment horizontal="right" vertical="center"/>
    </xf>
    <xf numFmtId="3" fontId="8" fillId="2" borderId="62" xfId="1" applyNumberFormat="1" applyFont="1" applyFill="1" applyBorder="1" applyAlignment="1">
      <alignment horizontal="right" vertical="center"/>
    </xf>
    <xf numFmtId="3" fontId="8" fillId="2" borderId="65" xfId="1" applyNumberFormat="1" applyFont="1" applyFill="1" applyBorder="1" applyAlignment="1">
      <alignment horizontal="right" vertical="center"/>
    </xf>
    <xf numFmtId="3" fontId="13" fillId="0" borderId="54" xfId="0" applyNumberFormat="1" applyFont="1" applyFill="1" applyBorder="1" applyAlignment="1">
      <alignment horizontal="right" vertical="center"/>
    </xf>
    <xf numFmtId="3" fontId="8" fillId="2" borderId="66" xfId="1" applyNumberFormat="1" applyFont="1" applyFill="1" applyBorder="1" applyAlignment="1">
      <alignment horizontal="right" vertical="center"/>
    </xf>
    <xf numFmtId="3" fontId="8" fillId="2" borderId="2" xfId="1" applyNumberFormat="1" applyFont="1" applyFill="1" applyBorder="1" applyAlignment="1">
      <alignment horizontal="right" vertical="center"/>
    </xf>
    <xf numFmtId="3" fontId="8" fillId="2" borderId="53" xfId="1" applyNumberFormat="1" applyFont="1" applyFill="1" applyBorder="1" applyAlignment="1">
      <alignment horizontal="right" vertical="center"/>
    </xf>
    <xf numFmtId="3" fontId="8" fillId="2" borderId="16" xfId="1" applyNumberFormat="1" applyFont="1" applyFill="1" applyBorder="1" applyAlignment="1">
      <alignment horizontal="right" vertical="center"/>
    </xf>
    <xf numFmtId="3" fontId="8" fillId="2" borderId="8" xfId="1" applyNumberFormat="1" applyFont="1" applyFill="1" applyBorder="1" applyAlignment="1">
      <alignment horizontal="right" vertical="center"/>
    </xf>
    <xf numFmtId="3" fontId="8" fillId="2" borderId="14" xfId="1" applyNumberFormat="1" applyFont="1" applyFill="1" applyBorder="1" applyAlignment="1">
      <alignment horizontal="right" vertical="center"/>
    </xf>
    <xf numFmtId="0" fontId="13" fillId="0" borderId="8" xfId="0" applyFont="1" applyBorder="1" applyAlignment="1">
      <alignment horizontal="left" vertical="center"/>
    </xf>
    <xf numFmtId="3" fontId="8" fillId="0" borderId="54" xfId="0" applyNumberFormat="1" applyFont="1" applyFill="1" applyBorder="1" applyAlignment="1">
      <alignment horizontal="right" vertical="center"/>
    </xf>
    <xf numFmtId="0" fontId="13" fillId="0" borderId="14" xfId="0" applyFont="1" applyBorder="1" applyAlignment="1">
      <alignment horizontal="center" vertical="center"/>
    </xf>
    <xf numFmtId="3" fontId="13" fillId="0" borderId="0" xfId="0" applyNumberFormat="1" applyFont="1" applyFill="1" applyBorder="1" applyAlignment="1">
      <alignment horizontal="right" vertical="center"/>
    </xf>
    <xf numFmtId="0" fontId="13" fillId="0" borderId="56" xfId="0" applyFont="1" applyBorder="1" applyAlignment="1">
      <alignment horizontal="left" vertical="center"/>
    </xf>
    <xf numFmtId="3" fontId="12" fillId="0" borderId="16" xfId="0" applyNumberFormat="1" applyFont="1" applyFill="1" applyBorder="1" applyAlignment="1">
      <alignment horizontal="right" vertical="center"/>
    </xf>
    <xf numFmtId="3" fontId="12" fillId="0" borderId="2" xfId="0" applyNumberFormat="1" applyFont="1" applyFill="1" applyBorder="1" applyAlignment="1">
      <alignment horizontal="right" vertical="center"/>
    </xf>
    <xf numFmtId="3" fontId="12" fillId="0" borderId="14" xfId="0" applyNumberFormat="1" applyFont="1" applyFill="1" applyBorder="1" applyAlignment="1">
      <alignment horizontal="right" vertical="center"/>
    </xf>
    <xf numFmtId="0" fontId="24" fillId="0" borderId="8" xfId="0" applyFont="1" applyFill="1" applyBorder="1" applyAlignment="1">
      <alignment horizontal="right" vertical="center" wrapText="1"/>
    </xf>
    <xf numFmtId="0" fontId="13" fillId="2" borderId="26" xfId="0" applyFont="1" applyFill="1" applyBorder="1" applyAlignment="1">
      <alignment horizontal="left" vertical="center"/>
    </xf>
    <xf numFmtId="3" fontId="12" fillId="0" borderId="29" xfId="0" applyNumberFormat="1" applyFont="1" applyBorder="1" applyAlignment="1">
      <alignment horizontal="right" vertical="center"/>
    </xf>
    <xf numFmtId="3" fontId="12" fillId="0" borderId="30" xfId="0" applyNumberFormat="1" applyFont="1" applyBorder="1" applyAlignment="1">
      <alignment horizontal="right" vertical="center"/>
    </xf>
    <xf numFmtId="3" fontId="12" fillId="0" borderId="57" xfId="0" applyNumberFormat="1" applyFont="1" applyBorder="1" applyAlignment="1">
      <alignment horizontal="right" vertical="center"/>
    </xf>
    <xf numFmtId="0" fontId="13" fillId="0" borderId="8" xfId="0" applyFont="1" applyFill="1" applyBorder="1" applyAlignment="1">
      <alignment horizontal="left" vertical="center"/>
    </xf>
    <xf numFmtId="0" fontId="13" fillId="5" borderId="4" xfId="0" applyFont="1" applyFill="1" applyBorder="1" applyAlignment="1">
      <alignment horizontal="center" vertical="center"/>
    </xf>
    <xf numFmtId="0" fontId="13" fillId="5" borderId="6" xfId="0" applyFont="1" applyFill="1" applyBorder="1" applyAlignment="1">
      <alignment vertical="center"/>
    </xf>
    <xf numFmtId="3" fontId="8" fillId="5" borderId="4" xfId="1" applyNumberFormat="1" applyFont="1" applyFill="1" applyBorder="1" applyAlignment="1">
      <alignment horizontal="right" vertical="center"/>
    </xf>
    <xf numFmtId="3" fontId="8" fillId="5" borderId="5" xfId="1" applyNumberFormat="1" applyFont="1" applyFill="1" applyBorder="1" applyAlignment="1">
      <alignment horizontal="right" vertical="center"/>
    </xf>
    <xf numFmtId="3" fontId="8" fillId="5" borderId="67" xfId="1" applyNumberFormat="1" applyFont="1" applyFill="1" applyBorder="1" applyAlignment="1">
      <alignment horizontal="right" vertical="center"/>
    </xf>
    <xf numFmtId="3" fontId="8" fillId="5" borderId="6" xfId="1" applyNumberFormat="1" applyFont="1" applyFill="1" applyBorder="1" applyAlignment="1">
      <alignment horizontal="right" vertical="center"/>
    </xf>
    <xf numFmtId="3" fontId="21" fillId="0" borderId="0" xfId="0" applyNumberFormat="1" applyFont="1" applyFill="1" applyBorder="1" applyAlignment="1">
      <alignment horizontal="right" vertical="center"/>
    </xf>
    <xf numFmtId="0" fontId="21" fillId="0" borderId="0" xfId="0" applyFont="1" applyFill="1" applyBorder="1" applyAlignment="1">
      <alignment vertical="center"/>
    </xf>
    <xf numFmtId="0" fontId="12" fillId="0" borderId="0" xfId="0" applyFont="1" applyFill="1" applyBorder="1" applyAlignment="1">
      <alignment vertical="center"/>
    </xf>
    <xf numFmtId="0" fontId="6" fillId="0" borderId="14" xfId="5" applyFont="1" applyBorder="1" applyAlignment="1">
      <alignment horizontal="center" vertical="center"/>
    </xf>
    <xf numFmtId="3" fontId="6" fillId="0" borderId="14" xfId="5" applyNumberFormat="1" applyFont="1" applyBorder="1" applyAlignment="1">
      <alignment horizontal="right" vertical="center"/>
    </xf>
    <xf numFmtId="3" fontId="6" fillId="0" borderId="2" xfId="5" applyNumberFormat="1" applyFont="1" applyBorder="1" applyAlignment="1">
      <alignment horizontal="right" vertical="center"/>
    </xf>
    <xf numFmtId="3" fontId="6" fillId="0" borderId="26" xfId="5" applyNumberFormat="1" applyFont="1" applyBorder="1" applyAlignment="1" applyProtection="1">
      <alignment vertical="center"/>
      <protection locked="0"/>
    </xf>
    <xf numFmtId="3" fontId="6" fillId="0" borderId="16" xfId="5" applyNumberFormat="1" applyFont="1" applyBorder="1" applyAlignment="1" applyProtection="1">
      <alignment horizontal="right" vertical="center"/>
      <protection locked="0"/>
    </xf>
    <xf numFmtId="0" fontId="6" fillId="2" borderId="14" xfId="5" applyFont="1" applyFill="1" applyBorder="1" applyAlignment="1">
      <alignment horizontal="center" vertical="center"/>
    </xf>
    <xf numFmtId="3" fontId="6" fillId="2" borderId="16" xfId="5" applyNumberFormat="1" applyFont="1" applyFill="1" applyBorder="1" applyAlignment="1" applyProtection="1">
      <alignment horizontal="left" vertical="center"/>
      <protection locked="0"/>
    </xf>
    <xf numFmtId="3" fontId="6" fillId="2" borderId="8" xfId="5" applyNumberFormat="1" applyFont="1" applyFill="1" applyBorder="1" applyAlignment="1" applyProtection="1">
      <alignment vertical="center"/>
      <protection locked="0"/>
    </xf>
    <xf numFmtId="0" fontId="22" fillId="2" borderId="4" xfId="5" applyFont="1" applyFill="1" applyBorder="1" applyAlignment="1">
      <alignment horizontal="center" vertical="center"/>
    </xf>
    <xf numFmtId="3" fontId="22" fillId="2" borderId="68" xfId="1" applyNumberFormat="1" applyFont="1" applyFill="1" applyBorder="1" applyAlignment="1" applyProtection="1">
      <alignment horizontal="left" vertical="center"/>
      <protection locked="0"/>
    </xf>
    <xf numFmtId="3" fontId="22" fillId="2" borderId="19" xfId="1" applyNumberFormat="1" applyFont="1" applyFill="1" applyBorder="1" applyAlignment="1" applyProtection="1">
      <alignment horizontal="right" vertical="center"/>
      <protection locked="0"/>
    </xf>
    <xf numFmtId="0" fontId="7" fillId="0" borderId="0" xfId="0" applyFont="1" applyAlignment="1">
      <alignment vertical="center"/>
    </xf>
    <xf numFmtId="0" fontId="12" fillId="2" borderId="1" xfId="0" applyFont="1" applyFill="1" applyBorder="1" applyAlignment="1">
      <alignment horizontal="center" vertical="center" wrapText="1" shrinkToFit="1"/>
    </xf>
    <xf numFmtId="0" fontId="13" fillId="2" borderId="24" xfId="0" applyFont="1" applyFill="1" applyBorder="1" applyAlignment="1">
      <alignment horizontal="center" vertical="center"/>
    </xf>
    <xf numFmtId="0" fontId="13" fillId="2" borderId="69" xfId="0" applyFont="1" applyFill="1" applyBorder="1" applyAlignment="1">
      <alignment horizontal="center" vertical="center"/>
    </xf>
    <xf numFmtId="0" fontId="13" fillId="2" borderId="70" xfId="0" applyFont="1" applyFill="1" applyBorder="1" applyAlignment="1">
      <alignment horizontal="center" vertical="center"/>
    </xf>
    <xf numFmtId="0" fontId="12" fillId="0" borderId="50" xfId="0" applyFont="1" applyBorder="1" applyAlignment="1">
      <alignment vertical="center"/>
    </xf>
    <xf numFmtId="0" fontId="12" fillId="0" borderId="50" xfId="0" applyFont="1" applyBorder="1" applyAlignment="1">
      <alignment horizontal="left" vertical="center"/>
    </xf>
    <xf numFmtId="0" fontId="12" fillId="0" borderId="71" xfId="0" applyFont="1" applyBorder="1" applyAlignment="1">
      <alignment horizontal="left" vertical="center"/>
    </xf>
    <xf numFmtId="0" fontId="12" fillId="0" borderId="72" xfId="0" applyFont="1" applyBorder="1" applyAlignment="1">
      <alignment vertical="center"/>
    </xf>
    <xf numFmtId="0" fontId="42" fillId="2" borderId="71" xfId="0" applyFont="1" applyFill="1" applyBorder="1" applyAlignment="1">
      <alignment horizontal="right" vertical="center"/>
    </xf>
    <xf numFmtId="0" fontId="13" fillId="2" borderId="68" xfId="0" applyFont="1" applyFill="1" applyBorder="1" applyAlignment="1">
      <alignment vertical="center"/>
    </xf>
    <xf numFmtId="0" fontId="13" fillId="2" borderId="73" xfId="0" applyFont="1" applyFill="1" applyBorder="1" applyAlignment="1">
      <alignment vertical="center"/>
    </xf>
    <xf numFmtId="0" fontId="13" fillId="0" borderId="0" xfId="0" applyFont="1" applyFill="1" applyBorder="1" applyAlignment="1">
      <alignment vertical="center"/>
    </xf>
    <xf numFmtId="0" fontId="12" fillId="0" borderId="0" xfId="0" applyFont="1" applyFill="1" applyAlignment="1">
      <alignment vertical="center"/>
    </xf>
    <xf numFmtId="0" fontId="41" fillId="0" borderId="0" xfId="0" applyFont="1" applyAlignment="1">
      <alignment vertical="center"/>
    </xf>
    <xf numFmtId="0" fontId="12" fillId="0" borderId="14" xfId="0" applyFont="1" applyBorder="1" applyAlignment="1">
      <alignment vertical="center"/>
    </xf>
    <xf numFmtId="0" fontId="12" fillId="2" borderId="74" xfId="0" applyFont="1" applyFill="1" applyBorder="1" applyAlignment="1">
      <alignment horizontal="left" vertical="center"/>
    </xf>
    <xf numFmtId="3" fontId="12" fillId="2" borderId="0" xfId="0" applyNumberFormat="1" applyFont="1" applyFill="1" applyAlignment="1">
      <alignment horizontal="right" vertical="center"/>
    </xf>
    <xf numFmtId="0" fontId="13" fillId="0" borderId="50" xfId="0" applyFont="1" applyFill="1" applyBorder="1" applyAlignment="1">
      <alignment horizontal="left" vertical="center"/>
    </xf>
    <xf numFmtId="0" fontId="13" fillId="2" borderId="50" xfId="0" applyFont="1" applyFill="1" applyBorder="1" applyAlignment="1">
      <alignment vertical="center"/>
    </xf>
    <xf numFmtId="0" fontId="13" fillId="3" borderId="50" xfId="0" applyFont="1" applyFill="1" applyBorder="1" applyAlignment="1">
      <alignment horizontal="left" vertical="center"/>
    </xf>
    <xf numFmtId="0" fontId="42" fillId="3" borderId="71" xfId="0" applyFont="1" applyFill="1" applyBorder="1" applyAlignment="1">
      <alignment horizontal="right" vertical="center"/>
    </xf>
    <xf numFmtId="3" fontId="13" fillId="3" borderId="0" xfId="0" applyNumberFormat="1" applyFont="1" applyFill="1" applyAlignment="1">
      <alignment horizontal="right" vertical="center"/>
    </xf>
    <xf numFmtId="0" fontId="13" fillId="3" borderId="0" xfId="0" applyFont="1" applyFill="1" applyAlignment="1">
      <alignment vertical="center"/>
    </xf>
    <xf numFmtId="0" fontId="13" fillId="0" borderId="0" xfId="0" applyFont="1" applyFill="1" applyBorder="1" applyAlignment="1">
      <alignment horizontal="left" vertical="center"/>
    </xf>
    <xf numFmtId="0" fontId="13" fillId="2" borderId="0" xfId="0" applyFont="1" applyFill="1" applyBorder="1" applyAlignment="1">
      <alignment horizontal="left" vertical="center"/>
    </xf>
    <xf numFmtId="0" fontId="42" fillId="2" borderId="18" xfId="0" applyFont="1" applyFill="1" applyBorder="1" applyAlignment="1">
      <alignment horizontal="right" vertical="center"/>
    </xf>
    <xf numFmtId="0" fontId="26" fillId="0" borderId="0" xfId="0" applyFont="1" applyAlignment="1">
      <alignment vertical="center"/>
    </xf>
    <xf numFmtId="0" fontId="6" fillId="0" borderId="75" xfId="1" applyFont="1" applyBorder="1" applyAlignment="1" applyProtection="1">
      <alignment horizontal="center" vertical="center" wrapText="1"/>
      <protection locked="0"/>
    </xf>
    <xf numFmtId="3" fontId="6" fillId="0" borderId="15" xfId="1" applyNumberFormat="1" applyFont="1" applyFill="1" applyBorder="1" applyAlignment="1" applyProtection="1">
      <alignment vertical="center" wrapText="1"/>
      <protection locked="0"/>
    </xf>
    <xf numFmtId="3" fontId="6" fillId="0" borderId="76" xfId="1" applyNumberFormat="1" applyFont="1" applyFill="1" applyBorder="1" applyAlignment="1" applyProtection="1">
      <alignment vertical="center" wrapText="1"/>
      <protection locked="0"/>
    </xf>
    <xf numFmtId="3" fontId="6" fillId="0" borderId="77" xfId="1" applyNumberFormat="1" applyFont="1" applyFill="1" applyBorder="1" applyAlignment="1" applyProtection="1">
      <alignment vertical="center" wrapText="1"/>
      <protection locked="0"/>
    </xf>
    <xf numFmtId="3" fontId="6" fillId="0" borderId="26" xfId="1" applyNumberFormat="1" applyFont="1" applyFill="1" applyBorder="1" applyAlignment="1" applyProtection="1">
      <alignment vertical="center" wrapText="1"/>
      <protection locked="0"/>
    </xf>
    <xf numFmtId="3" fontId="0" fillId="0" borderId="78" xfId="0" applyNumberFormat="1" applyFont="1" applyBorder="1" applyAlignment="1">
      <alignment vertical="center"/>
    </xf>
    <xf numFmtId="3" fontId="0" fillId="0" borderId="26" xfId="0" applyNumberFormat="1" applyFont="1" applyBorder="1" applyAlignment="1">
      <alignment vertical="center"/>
    </xf>
    <xf numFmtId="3" fontId="6" fillId="2" borderId="15" xfId="1" applyNumberFormat="1" applyFont="1" applyFill="1" applyBorder="1" applyAlignment="1" applyProtection="1">
      <alignment vertical="center"/>
      <protection locked="0"/>
    </xf>
    <xf numFmtId="3" fontId="0" fillId="2" borderId="26" xfId="0" applyNumberFormat="1" applyFill="1" applyBorder="1" applyAlignment="1">
      <alignment vertical="center"/>
    </xf>
    <xf numFmtId="0" fontId="6" fillId="0" borderId="0" xfId="1" applyFont="1" applyBorder="1" applyAlignment="1" applyProtection="1">
      <alignment vertical="center"/>
      <protection locked="0"/>
    </xf>
    <xf numFmtId="3" fontId="6" fillId="0" borderId="14" xfId="1" applyNumberFormat="1" applyFont="1" applyFill="1" applyBorder="1" applyAlignment="1" applyProtection="1">
      <alignment vertical="center" wrapText="1"/>
      <protection locked="0"/>
    </xf>
    <xf numFmtId="3" fontId="6" fillId="0" borderId="16" xfId="1" applyNumberFormat="1" applyFont="1" applyFill="1" applyBorder="1" applyAlignment="1" applyProtection="1">
      <alignment vertical="center" wrapText="1"/>
      <protection locked="0"/>
    </xf>
    <xf numFmtId="3" fontId="6" fillId="0" borderId="2" xfId="1" applyNumberFormat="1" applyFont="1" applyFill="1" applyBorder="1" applyAlignment="1" applyProtection="1">
      <alignment vertical="center" wrapText="1"/>
      <protection locked="0"/>
    </xf>
    <xf numFmtId="3" fontId="6" fillId="0" borderId="8" xfId="1" applyNumberFormat="1" applyFont="1" applyFill="1" applyBorder="1" applyAlignment="1" applyProtection="1">
      <alignment vertical="center" wrapText="1"/>
      <protection locked="0"/>
    </xf>
    <xf numFmtId="3" fontId="0" fillId="0" borderId="79" xfId="0" applyNumberFormat="1" applyFont="1" applyBorder="1" applyAlignment="1">
      <alignment vertical="center"/>
    </xf>
    <xf numFmtId="3" fontId="0" fillId="0" borderId="8" xfId="0" applyNumberFormat="1" applyFont="1" applyBorder="1" applyAlignment="1">
      <alignment vertical="center"/>
    </xf>
    <xf numFmtId="3" fontId="6" fillId="2" borderId="14" xfId="1" applyNumberFormat="1" applyFont="1" applyFill="1" applyBorder="1" applyAlignment="1" applyProtection="1">
      <alignment vertical="center"/>
      <protection locked="0"/>
    </xf>
    <xf numFmtId="3" fontId="0" fillId="2" borderId="8" xfId="0" applyNumberFormat="1" applyFill="1" applyBorder="1" applyAlignment="1">
      <alignment vertical="center"/>
    </xf>
    <xf numFmtId="0" fontId="6" fillId="0" borderId="80" xfId="1" applyFont="1" applyBorder="1" applyAlignment="1" applyProtection="1">
      <alignment horizontal="center" vertical="center" wrapText="1"/>
      <protection locked="0"/>
    </xf>
    <xf numFmtId="3" fontId="6" fillId="0" borderId="57" xfId="1" applyNumberFormat="1" applyFont="1" applyFill="1" applyBorder="1" applyAlignment="1" applyProtection="1">
      <alignment vertical="center" wrapText="1"/>
      <protection locked="0"/>
    </xf>
    <xf numFmtId="3" fontId="6" fillId="0" borderId="29" xfId="1" applyNumberFormat="1" applyFont="1" applyFill="1" applyBorder="1" applyAlignment="1" applyProtection="1">
      <alignment vertical="center" wrapText="1"/>
      <protection locked="0"/>
    </xf>
    <xf numFmtId="3" fontId="6" fillId="0" borderId="30" xfId="1" applyNumberFormat="1" applyFont="1" applyFill="1" applyBorder="1" applyAlignment="1" applyProtection="1">
      <alignment vertical="center" wrapText="1"/>
      <protection locked="0"/>
    </xf>
    <xf numFmtId="3" fontId="6" fillId="0" borderId="56" xfId="1" applyNumberFormat="1" applyFont="1" applyFill="1" applyBorder="1" applyAlignment="1" applyProtection="1">
      <alignment vertical="center" wrapText="1"/>
      <protection locked="0"/>
    </xf>
    <xf numFmtId="3" fontId="0" fillId="0" borderId="57" xfId="0" applyNumberFormat="1" applyFont="1" applyBorder="1" applyAlignment="1">
      <alignment vertical="center"/>
    </xf>
    <xf numFmtId="3" fontId="0" fillId="0" borderId="56" xfId="0" applyNumberFormat="1" applyFont="1" applyBorder="1" applyAlignment="1">
      <alignment vertical="center"/>
    </xf>
    <xf numFmtId="3" fontId="0" fillId="0" borderId="57" xfId="0" applyNumberFormat="1" applyBorder="1" applyAlignment="1">
      <alignment vertical="center"/>
    </xf>
    <xf numFmtId="3" fontId="0" fillId="0" borderId="56" xfId="0" applyNumberFormat="1" applyBorder="1" applyAlignment="1">
      <alignment vertical="center"/>
    </xf>
    <xf numFmtId="3" fontId="0" fillId="0" borderId="81" xfId="0" applyNumberFormat="1" applyFont="1" applyBorder="1" applyAlignment="1">
      <alignment vertical="center"/>
    </xf>
    <xf numFmtId="3" fontId="6" fillId="2" borderId="57" xfId="1" applyNumberFormat="1" applyFont="1" applyFill="1" applyBorder="1" applyAlignment="1" applyProtection="1">
      <alignment vertical="center" wrapText="1"/>
      <protection locked="0"/>
    </xf>
    <xf numFmtId="3" fontId="0" fillId="2" borderId="56" xfId="0" applyNumberFormat="1" applyFill="1" applyBorder="1" applyAlignment="1">
      <alignment vertical="center"/>
    </xf>
    <xf numFmtId="0" fontId="8" fillId="0" borderId="82" xfId="1" applyFont="1" applyBorder="1" applyAlignment="1" applyProtection="1">
      <alignment horizontal="center" vertical="center" wrapText="1"/>
      <protection locked="0"/>
    </xf>
    <xf numFmtId="3" fontId="8" fillId="0" borderId="4" xfId="1" applyNumberFormat="1" applyFont="1" applyFill="1" applyBorder="1" applyAlignment="1" applyProtection="1">
      <alignment vertical="center" wrapText="1"/>
      <protection locked="0"/>
    </xf>
    <xf numFmtId="3" fontId="8" fillId="0" borderId="31" xfId="1" applyNumberFormat="1" applyFont="1" applyFill="1" applyBorder="1" applyAlignment="1" applyProtection="1">
      <alignment vertical="center" wrapText="1"/>
      <protection locked="0"/>
    </xf>
    <xf numFmtId="3" fontId="8" fillId="0" borderId="5" xfId="1" applyNumberFormat="1" applyFont="1" applyFill="1" applyBorder="1" applyAlignment="1" applyProtection="1">
      <alignment vertical="center" wrapText="1"/>
      <protection locked="0"/>
    </xf>
    <xf numFmtId="3" fontId="21" fillId="0" borderId="4" xfId="0" applyNumberFormat="1" applyFont="1" applyBorder="1" applyAlignment="1">
      <alignment vertical="center"/>
    </xf>
    <xf numFmtId="3" fontId="21" fillId="0" borderId="6" xfId="0" applyNumberFormat="1" applyFont="1" applyBorder="1" applyAlignment="1">
      <alignment vertical="center"/>
    </xf>
    <xf numFmtId="0" fontId="21" fillId="0" borderId="0" xfId="0" applyFont="1" applyAlignment="1">
      <alignment vertical="center"/>
    </xf>
    <xf numFmtId="0" fontId="8" fillId="0" borderId="0" xfId="1" applyFont="1" applyBorder="1" applyAlignment="1" applyProtection="1">
      <alignment vertical="center"/>
      <protection locked="0"/>
    </xf>
    <xf numFmtId="0" fontId="8" fillId="0" borderId="0" xfId="1" applyFont="1" applyAlignment="1" applyProtection="1">
      <alignment vertical="center"/>
      <protection locked="0"/>
    </xf>
    <xf numFmtId="0" fontId="8" fillId="0" borderId="0" xfId="1" applyFont="1" applyAlignment="1">
      <alignment vertical="center"/>
    </xf>
    <xf numFmtId="0" fontId="22" fillId="0" borderId="0" xfId="1" applyFont="1" applyAlignment="1" applyProtection="1">
      <alignment vertical="center"/>
      <protection locked="0"/>
    </xf>
    <xf numFmtId="0" fontId="12" fillId="0" borderId="0" xfId="1" applyFont="1" applyAlignment="1" applyProtection="1">
      <alignment horizontal="left" vertical="center"/>
      <protection locked="0"/>
    </xf>
    <xf numFmtId="0" fontId="12" fillId="0" borderId="0" xfId="1" applyFont="1" applyAlignment="1" applyProtection="1">
      <alignment horizontal="right" vertical="center"/>
      <protection locked="0"/>
    </xf>
    <xf numFmtId="0" fontId="6" fillId="0" borderId="14" xfId="1" applyFont="1" applyFill="1" applyBorder="1" applyAlignment="1" applyProtection="1">
      <alignment vertical="center" wrapText="1"/>
      <protection locked="0"/>
    </xf>
    <xf numFmtId="0" fontId="6" fillId="0" borderId="2" xfId="1" applyFont="1" applyFill="1" applyBorder="1" applyAlignment="1" applyProtection="1">
      <alignment vertical="center" wrapText="1"/>
      <protection locked="0"/>
    </xf>
    <xf numFmtId="0" fontId="6" fillId="0" borderId="8" xfId="1" applyFont="1" applyFill="1" applyBorder="1" applyAlignment="1" applyProtection="1">
      <alignment vertical="center" wrapText="1"/>
      <protection locked="0"/>
    </xf>
    <xf numFmtId="0" fontId="6" fillId="0" borderId="16" xfId="1" applyFont="1" applyFill="1" applyBorder="1" applyAlignment="1" applyProtection="1">
      <alignment vertical="center" wrapText="1"/>
      <protection locked="0"/>
    </xf>
    <xf numFmtId="0" fontId="6" fillId="0" borderId="0" xfId="1" applyFont="1" applyBorder="1" applyAlignment="1">
      <alignment vertical="center"/>
    </xf>
    <xf numFmtId="0" fontId="6" fillId="0" borderId="7" xfId="1" applyFont="1" applyFill="1" applyBorder="1" applyAlignment="1" applyProtection="1">
      <alignment horizontal="center" vertical="center" wrapText="1"/>
      <protection locked="0"/>
    </xf>
    <xf numFmtId="0" fontId="6" fillId="0" borderId="9" xfId="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0" fontId="6" fillId="0" borderId="10" xfId="1" applyFont="1" applyFill="1" applyBorder="1" applyAlignment="1" applyProtection="1">
      <alignment horizontal="center" vertical="center" wrapText="1"/>
      <protection locked="0"/>
    </xf>
    <xf numFmtId="0" fontId="6" fillId="0" borderId="9" xfId="1" applyFont="1" applyBorder="1" applyAlignment="1">
      <alignment horizontal="center" vertical="center"/>
    </xf>
    <xf numFmtId="0" fontId="6" fillId="0" borderId="83" xfId="1" applyFont="1" applyBorder="1" applyAlignment="1" applyProtection="1">
      <alignment horizontal="center" vertical="center" wrapText="1"/>
      <protection locked="0"/>
    </xf>
    <xf numFmtId="0" fontId="6" fillId="0" borderId="75" xfId="1" applyFont="1" applyFill="1" applyBorder="1" applyAlignment="1" applyProtection="1">
      <alignment vertical="center"/>
      <protection locked="0"/>
    </xf>
    <xf numFmtId="4" fontId="6" fillId="0" borderId="15" xfId="1" applyNumberFormat="1" applyFont="1" applyFill="1" applyBorder="1" applyAlignment="1" applyProtection="1">
      <alignment horizontal="right" vertical="center" wrapText="1"/>
      <protection locked="0"/>
    </xf>
    <xf numFmtId="3" fontId="6" fillId="0" borderId="77" xfId="1" applyNumberFormat="1" applyFont="1" applyFill="1" applyBorder="1" applyAlignment="1" applyProtection="1">
      <alignment horizontal="right" vertical="center" wrapText="1"/>
      <protection locked="0"/>
    </xf>
    <xf numFmtId="4" fontId="6" fillId="0" borderId="76" xfId="1" applyNumberFormat="1" applyFont="1" applyFill="1" applyBorder="1" applyAlignment="1" applyProtection="1">
      <alignment horizontal="right" vertical="center" wrapText="1"/>
      <protection locked="0"/>
    </xf>
    <xf numFmtId="0" fontId="6" fillId="0" borderId="27" xfId="1" applyFont="1" applyBorder="1" applyAlignment="1" applyProtection="1">
      <alignment horizontal="center" vertical="center" wrapText="1"/>
      <protection locked="0"/>
    </xf>
    <xf numFmtId="0" fontId="6" fillId="0" borderId="13" xfId="1" applyFont="1" applyFill="1" applyBorder="1" applyAlignment="1" applyProtection="1">
      <alignment horizontal="left" vertical="center"/>
      <protection locked="0"/>
    </xf>
    <xf numFmtId="4" fontId="6" fillId="0" borderId="14" xfId="1" applyNumberFormat="1" applyFont="1" applyFill="1" applyBorder="1" applyAlignment="1" applyProtection="1">
      <alignment horizontal="right" vertical="center" wrapText="1"/>
      <protection locked="0"/>
    </xf>
    <xf numFmtId="3" fontId="6" fillId="0" borderId="2" xfId="1" applyNumberFormat="1" applyFont="1" applyFill="1" applyBorder="1" applyAlignment="1" applyProtection="1">
      <alignment horizontal="right" vertical="center" wrapText="1"/>
      <protection locked="0"/>
    </xf>
    <xf numFmtId="4" fontId="6" fillId="0" borderId="16" xfId="1" applyNumberFormat="1" applyFont="1" applyFill="1" applyBorder="1" applyAlignment="1" applyProtection="1">
      <alignment horizontal="right" vertical="center" wrapText="1"/>
      <protection locked="0"/>
    </xf>
    <xf numFmtId="0" fontId="6" fillId="0" borderId="84" xfId="1" applyFont="1" applyBorder="1" applyAlignment="1" applyProtection="1">
      <alignment horizontal="center" vertical="center" wrapText="1"/>
      <protection locked="0"/>
    </xf>
    <xf numFmtId="4" fontId="6" fillId="0" borderId="7" xfId="1" applyNumberFormat="1" applyFont="1" applyFill="1" applyBorder="1" applyAlignment="1" applyProtection="1">
      <alignment horizontal="right" vertical="center" wrapText="1"/>
      <protection locked="0"/>
    </xf>
    <xf numFmtId="3" fontId="6" fillId="0" borderId="9" xfId="1" applyNumberFormat="1" applyFont="1" applyFill="1" applyBorder="1" applyAlignment="1" applyProtection="1">
      <alignment horizontal="right" vertical="center" wrapText="1"/>
      <protection locked="0"/>
    </xf>
    <xf numFmtId="3" fontId="6" fillId="0" borderId="1" xfId="1" applyNumberFormat="1" applyFont="1" applyFill="1" applyBorder="1" applyAlignment="1" applyProtection="1">
      <alignment vertical="center" wrapText="1"/>
      <protection locked="0"/>
    </xf>
    <xf numFmtId="3" fontId="6" fillId="0" borderId="9" xfId="1" applyNumberFormat="1" applyFont="1" applyFill="1" applyBorder="1" applyAlignment="1" applyProtection="1">
      <alignment vertical="center" wrapText="1"/>
      <protection locked="0"/>
    </xf>
    <xf numFmtId="4" fontId="6" fillId="0" borderId="10" xfId="1" applyNumberFormat="1" applyFont="1" applyFill="1" applyBorder="1" applyAlignment="1" applyProtection="1">
      <alignment horizontal="right" vertical="center" wrapText="1"/>
      <protection locked="0"/>
    </xf>
    <xf numFmtId="0" fontId="8" fillId="0" borderId="85" xfId="1" applyFont="1" applyBorder="1" applyAlignment="1" applyProtection="1">
      <alignment horizontal="center" vertical="center" wrapText="1"/>
      <protection locked="0"/>
    </xf>
    <xf numFmtId="4" fontId="8" fillId="0" borderId="17" xfId="1" applyNumberFormat="1" applyFont="1" applyFill="1" applyBorder="1" applyAlignment="1" applyProtection="1">
      <alignment horizontal="right" vertical="center" wrapText="1"/>
      <protection locked="0"/>
    </xf>
    <xf numFmtId="3" fontId="8" fillId="0" borderId="11" xfId="1" applyNumberFormat="1" applyFont="1" applyFill="1" applyBorder="1" applyAlignment="1" applyProtection="1">
      <alignment horizontal="right" vertical="center" wrapText="1"/>
      <protection locked="0"/>
    </xf>
    <xf numFmtId="3" fontId="8" fillId="0" borderId="12" xfId="1" applyNumberFormat="1" applyFont="1" applyFill="1" applyBorder="1" applyAlignment="1" applyProtection="1">
      <alignment horizontal="right" vertical="center" wrapText="1"/>
      <protection locked="0"/>
    </xf>
    <xf numFmtId="3" fontId="8" fillId="0" borderId="6" xfId="1" applyNumberFormat="1" applyFont="1" applyFill="1" applyBorder="1" applyAlignment="1" applyProtection="1">
      <alignment horizontal="right" vertical="center" wrapText="1"/>
      <protection locked="0"/>
    </xf>
    <xf numFmtId="4" fontId="8" fillId="0" borderId="86" xfId="1" applyNumberFormat="1" applyFont="1" applyFill="1" applyBorder="1" applyAlignment="1" applyProtection="1">
      <alignment horizontal="right" vertical="center" wrapText="1"/>
      <protection locked="0"/>
    </xf>
    <xf numFmtId="0" fontId="7" fillId="0" borderId="0" xfId="1" applyFont="1" applyAlignment="1" applyProtection="1">
      <alignment horizontal="left" vertical="center"/>
      <protection locked="0"/>
    </xf>
    <xf numFmtId="0" fontId="6" fillId="0" borderId="0" xfId="1" applyFont="1" applyAlignment="1" applyProtection="1">
      <alignment horizontal="center" vertical="center"/>
      <protection locked="0"/>
    </xf>
    <xf numFmtId="0" fontId="6" fillId="0" borderId="0" xfId="1" applyFont="1" applyAlignment="1">
      <alignment horizontal="right" vertical="center"/>
    </xf>
    <xf numFmtId="0" fontId="6" fillId="0" borderId="25" xfId="1" applyFont="1" applyBorder="1" applyAlignment="1" applyProtection="1">
      <alignment horizontal="center" vertical="center" wrapText="1"/>
      <protection locked="0"/>
    </xf>
    <xf numFmtId="0" fontId="6" fillId="0" borderId="25" xfId="1" applyFont="1" applyFill="1" applyBorder="1" applyAlignment="1" applyProtection="1">
      <alignment vertical="center" wrapText="1"/>
      <protection locked="0"/>
    </xf>
    <xf numFmtId="0" fontId="6" fillId="0" borderId="87" xfId="1" applyFont="1" applyBorder="1" applyAlignment="1" applyProtection="1">
      <alignment vertical="center" wrapText="1"/>
      <protection locked="0"/>
    </xf>
    <xf numFmtId="0" fontId="6" fillId="2" borderId="64" xfId="1" applyFont="1" applyFill="1" applyBorder="1" applyAlignment="1">
      <alignment horizontal="center" vertical="center"/>
    </xf>
    <xf numFmtId="0" fontId="8" fillId="2" borderId="88" xfId="1" applyFont="1" applyFill="1" applyBorder="1" applyAlignment="1" applyProtection="1">
      <alignment vertical="center" wrapText="1"/>
      <protection locked="0"/>
    </xf>
    <xf numFmtId="3" fontId="8" fillId="2" borderId="25" xfId="1" applyNumberFormat="1" applyFont="1" applyFill="1" applyBorder="1" applyAlignment="1" applyProtection="1">
      <alignment vertical="center" wrapText="1"/>
      <protection locked="0"/>
    </xf>
    <xf numFmtId="164" fontId="8" fillId="2" borderId="87" xfId="1" applyNumberFormat="1" applyFont="1" applyFill="1" applyBorder="1" applyAlignment="1">
      <alignment horizontal="center" vertical="center"/>
    </xf>
    <xf numFmtId="3" fontId="6" fillId="0" borderId="14" xfId="1" applyNumberFormat="1" applyFont="1" applyBorder="1" applyAlignment="1" applyProtection="1">
      <alignment horizontal="center" vertical="center"/>
      <protection locked="0"/>
    </xf>
    <xf numFmtId="3" fontId="10" fillId="0" borderId="50" xfId="1" applyNumberFormat="1" applyFont="1" applyBorder="1" applyAlignment="1" applyProtection="1">
      <alignment vertical="center" wrapText="1"/>
      <protection locked="0"/>
    </xf>
    <xf numFmtId="164" fontId="6" fillId="3" borderId="2" xfId="1" applyNumberFormat="1" applyFont="1" applyFill="1" applyBorder="1" applyAlignment="1">
      <alignment horizontal="center" vertical="center"/>
    </xf>
    <xf numFmtId="3" fontId="6" fillId="0" borderId="50" xfId="1" applyNumberFormat="1" applyFont="1" applyBorder="1" applyAlignment="1" applyProtection="1">
      <alignment vertical="center"/>
      <protection locked="0"/>
    </xf>
    <xf numFmtId="3" fontId="6" fillId="0" borderId="50" xfId="1" applyNumberFormat="1" applyFont="1" applyBorder="1" applyAlignment="1" applyProtection="1">
      <alignment vertical="center" wrapText="1"/>
      <protection locked="0"/>
    </xf>
    <xf numFmtId="0" fontId="6" fillId="2" borderId="76" xfId="1" applyFont="1" applyFill="1" applyBorder="1" applyAlignment="1">
      <alignment horizontal="center" vertical="center"/>
    </xf>
    <xf numFmtId="3" fontId="8" fillId="2" borderId="50" xfId="1" applyNumberFormat="1" applyFont="1" applyFill="1" applyBorder="1" applyAlignment="1" applyProtection="1">
      <alignment vertical="center" wrapText="1"/>
      <protection locked="0"/>
    </xf>
    <xf numFmtId="3" fontId="8" fillId="2" borderId="77" xfId="1" applyNumberFormat="1" applyFont="1" applyFill="1" applyBorder="1" applyAlignment="1" applyProtection="1">
      <alignment vertical="center" wrapText="1"/>
      <protection locked="0"/>
    </xf>
    <xf numFmtId="164" fontId="8" fillId="2" borderId="26" xfId="1" applyNumberFormat="1" applyFont="1" applyFill="1" applyBorder="1" applyAlignment="1">
      <alignment horizontal="center" vertical="center"/>
    </xf>
    <xf numFmtId="3" fontId="6" fillId="0" borderId="13" xfId="1" applyNumberFormat="1" applyFont="1" applyBorder="1" applyAlignment="1" applyProtection="1">
      <alignment vertical="center" wrapText="1"/>
      <protection locked="0"/>
    </xf>
    <xf numFmtId="3" fontId="6" fillId="0" borderId="2" xfId="1" applyNumberFormat="1" applyFont="1" applyBorder="1" applyAlignment="1" applyProtection="1">
      <alignment vertical="center" wrapText="1"/>
      <protection locked="0"/>
    </xf>
    <xf numFmtId="3" fontId="6" fillId="0" borderId="57" xfId="1" applyNumberFormat="1" applyFont="1" applyBorder="1" applyAlignment="1" applyProtection="1">
      <alignment horizontal="center" vertical="center"/>
      <protection locked="0"/>
    </xf>
    <xf numFmtId="3" fontId="6" fillId="0" borderId="30" xfId="1" applyNumberFormat="1" applyFont="1" applyBorder="1" applyAlignment="1" applyProtection="1">
      <alignment vertical="center" wrapText="1"/>
      <protection locked="0"/>
    </xf>
    <xf numFmtId="164" fontId="6" fillId="3" borderId="30" xfId="1" applyNumberFormat="1" applyFont="1" applyFill="1" applyBorder="1" applyAlignment="1">
      <alignment horizontal="center" vertical="center"/>
    </xf>
    <xf numFmtId="4" fontId="6" fillId="0" borderId="56" xfId="1" applyNumberFormat="1" applyFont="1" applyBorder="1" applyAlignment="1" applyProtection="1">
      <alignment vertical="center"/>
      <protection locked="0"/>
    </xf>
    <xf numFmtId="3" fontId="6" fillId="0" borderId="4" xfId="1" applyNumberFormat="1" applyFont="1" applyFill="1" applyBorder="1" applyAlignment="1" applyProtection="1">
      <alignment horizontal="center" vertical="center"/>
      <protection locked="0"/>
    </xf>
    <xf numFmtId="3" fontId="8" fillId="0" borderId="68" xfId="1" applyNumberFormat="1" applyFont="1" applyFill="1" applyBorder="1" applyAlignment="1" applyProtection="1">
      <alignment vertical="center"/>
      <protection locked="0"/>
    </xf>
    <xf numFmtId="3" fontId="8" fillId="0" borderId="5" xfId="1" applyNumberFormat="1" applyFont="1" applyFill="1" applyBorder="1" applyAlignment="1" applyProtection="1">
      <alignment vertical="center"/>
      <protection hidden="1"/>
    </xf>
    <xf numFmtId="164" fontId="8" fillId="3" borderId="6" xfId="1" applyNumberFormat="1" applyFont="1" applyFill="1" applyBorder="1" applyAlignment="1">
      <alignment horizontal="center" vertical="center"/>
    </xf>
    <xf numFmtId="0" fontId="6" fillId="0" borderId="0" xfId="1" applyFont="1" applyBorder="1" applyAlignment="1" applyProtection="1">
      <alignment horizontal="center" vertical="center"/>
      <protection locked="0"/>
    </xf>
    <xf numFmtId="3" fontId="6" fillId="0" borderId="0" xfId="1" applyNumberFormat="1" applyFont="1" applyFill="1" applyBorder="1" applyAlignment="1" applyProtection="1">
      <alignment vertical="center"/>
      <protection hidden="1"/>
    </xf>
    <xf numFmtId="3" fontId="6" fillId="0" borderId="0" xfId="1" applyNumberFormat="1" applyFont="1" applyBorder="1" applyAlignment="1" applyProtection="1">
      <alignment vertical="center"/>
      <protection hidden="1"/>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left" vertical="center"/>
      <protection locked="0"/>
    </xf>
    <xf numFmtId="3" fontId="6" fillId="0" borderId="0" xfId="1" applyNumberFormat="1" applyFont="1" applyFill="1" applyBorder="1" applyAlignment="1" applyProtection="1">
      <alignment horizontal="left" vertical="center"/>
      <protection hidden="1"/>
    </xf>
    <xf numFmtId="3" fontId="6" fillId="0" borderId="0" xfId="1" applyNumberFormat="1" applyFont="1" applyBorder="1" applyAlignment="1" applyProtection="1">
      <alignment horizontal="left" vertical="center"/>
      <protection hidden="1"/>
    </xf>
    <xf numFmtId="0" fontId="6" fillId="0" borderId="0" xfId="1" applyFont="1" applyAlignment="1">
      <alignment horizontal="left" vertical="center"/>
    </xf>
    <xf numFmtId="0" fontId="20" fillId="0" borderId="0" xfId="1" applyFont="1" applyAlignment="1" applyProtection="1">
      <alignment horizontal="left" vertical="center"/>
      <protection locked="0"/>
    </xf>
    <xf numFmtId="0" fontId="36" fillId="0" borderId="0" xfId="1" applyFont="1" applyAlignment="1" applyProtection="1">
      <alignment vertical="center"/>
      <protection locked="0"/>
    </xf>
    <xf numFmtId="0" fontId="20" fillId="0" borderId="0" xfId="1" applyFont="1" applyAlignment="1">
      <alignment horizontal="right" vertical="center"/>
    </xf>
    <xf numFmtId="3" fontId="20" fillId="0" borderId="0" xfId="1" applyNumberFormat="1" applyFont="1" applyAlignment="1">
      <alignment vertical="center"/>
    </xf>
    <xf numFmtId="0" fontId="7" fillId="0" borderId="0" xfId="1" applyFont="1" applyFill="1" applyAlignment="1" applyProtection="1">
      <alignment vertical="center"/>
      <protection locked="0"/>
    </xf>
    <xf numFmtId="0" fontId="15" fillId="0" borderId="0" xfId="1" applyFont="1" applyAlignment="1" applyProtection="1">
      <alignment horizontal="center" vertical="center"/>
      <protection locked="0"/>
    </xf>
    <xf numFmtId="0" fontId="15" fillId="0" borderId="0" xfId="1" applyFont="1" applyAlignment="1" applyProtection="1">
      <alignment vertical="center"/>
      <protection locked="0"/>
    </xf>
    <xf numFmtId="0" fontId="6" fillId="0" borderId="23" xfId="1" applyFont="1" applyBorder="1" applyAlignment="1" applyProtection="1">
      <alignment horizontal="center" vertical="center"/>
      <protection locked="0"/>
    </xf>
    <xf numFmtId="0" fontId="10" fillId="0" borderId="89" xfId="1" applyFont="1" applyBorder="1" applyAlignment="1" applyProtection="1">
      <alignment horizontal="center" vertical="center" wrapText="1"/>
      <protection locked="0"/>
    </xf>
    <xf numFmtId="0" fontId="10" fillId="0" borderId="54" xfId="1" applyFont="1" applyBorder="1" applyAlignment="1" applyProtection="1">
      <alignment horizontal="center" vertical="center"/>
      <protection locked="0"/>
    </xf>
    <xf numFmtId="2" fontId="10" fillId="0" borderId="11" xfId="1" applyNumberFormat="1" applyFont="1" applyBorder="1" applyAlignment="1" applyProtection="1">
      <alignment horizontal="center" vertical="center" wrapText="1"/>
      <protection locked="0"/>
    </xf>
    <xf numFmtId="0" fontId="10" fillId="0" borderId="49" xfId="1" applyFont="1" applyBorder="1" applyAlignment="1" applyProtection="1">
      <alignment horizontal="center" vertical="center" wrapText="1"/>
      <protection locked="0"/>
    </xf>
    <xf numFmtId="0" fontId="10" fillId="0" borderId="0" xfId="1" applyFont="1" applyAlignment="1" applyProtection="1">
      <alignment vertical="center"/>
      <protection locked="0"/>
    </xf>
    <xf numFmtId="0" fontId="10" fillId="0" borderId="0" xfId="1" applyFont="1" applyAlignment="1">
      <alignment vertical="center"/>
    </xf>
    <xf numFmtId="0" fontId="6" fillId="5" borderId="90" xfId="1" applyFont="1" applyFill="1" applyBorder="1" applyAlignment="1" applyProtection="1">
      <alignment horizontal="center" vertical="center"/>
      <protection locked="0"/>
    </xf>
    <xf numFmtId="0" fontId="8" fillId="5" borderId="91" xfId="1" applyFont="1" applyFill="1" applyBorder="1" applyAlignment="1" applyProtection="1">
      <alignment vertical="center" readingOrder="1"/>
      <protection locked="0"/>
    </xf>
    <xf numFmtId="0" fontId="8" fillId="5" borderId="92" xfId="1" applyFont="1" applyFill="1" applyBorder="1" applyAlignment="1" applyProtection="1">
      <alignment vertical="center"/>
      <protection locked="0"/>
    </xf>
    <xf numFmtId="3" fontId="6" fillId="5" borderId="25" xfId="1" applyNumberFormat="1" applyFont="1" applyFill="1" applyBorder="1" applyAlignment="1">
      <alignment horizontal="right" vertical="center"/>
    </xf>
    <xf numFmtId="3" fontId="6" fillId="5" borderId="61" xfId="1" applyNumberFormat="1" applyFont="1" applyFill="1" applyBorder="1" applyAlignment="1">
      <alignment horizontal="right" vertical="center"/>
    </xf>
    <xf numFmtId="3" fontId="6" fillId="5" borderId="87" xfId="1" applyNumberFormat="1" applyFont="1" applyFill="1" applyBorder="1" applyAlignment="1">
      <alignment horizontal="right" vertical="center"/>
    </xf>
    <xf numFmtId="3" fontId="6" fillId="0" borderId="0" xfId="1" applyNumberFormat="1" applyFont="1" applyAlignment="1" applyProtection="1">
      <alignment horizontal="right" vertical="center"/>
      <protection locked="0"/>
    </xf>
    <xf numFmtId="0" fontId="6" fillId="3" borderId="27" xfId="1" applyFont="1" applyFill="1" applyBorder="1" applyAlignment="1" applyProtection="1">
      <alignment horizontal="center" vertical="center"/>
      <protection locked="0"/>
    </xf>
    <xf numFmtId="3" fontId="6" fillId="3" borderId="16" xfId="1" applyNumberFormat="1" applyFont="1" applyFill="1" applyBorder="1" applyAlignment="1" applyProtection="1">
      <alignment horizontal="right" vertical="center"/>
      <protection locked="0"/>
    </xf>
    <xf numFmtId="3" fontId="6" fillId="3" borderId="2" xfId="1" applyNumberFormat="1" applyFont="1" applyFill="1" applyBorder="1" applyAlignment="1" applyProtection="1">
      <alignment horizontal="right" vertical="center"/>
      <protection locked="0"/>
    </xf>
    <xf numFmtId="3" fontId="6" fillId="3" borderId="2" xfId="1" applyNumberFormat="1" applyFont="1" applyFill="1" applyBorder="1" applyAlignment="1">
      <alignment horizontal="right" vertical="center"/>
    </xf>
    <xf numFmtId="3" fontId="6" fillId="3" borderId="8" xfId="1" applyNumberFormat="1" applyFont="1" applyFill="1" applyBorder="1" applyAlignment="1" applyProtection="1">
      <alignment horizontal="right" vertical="center"/>
      <protection locked="0"/>
    </xf>
    <xf numFmtId="3" fontId="6" fillId="0" borderId="0" xfId="1" applyNumberFormat="1" applyFont="1" applyBorder="1" applyAlignment="1" applyProtection="1">
      <alignment horizontal="right" vertical="center" wrapText="1"/>
      <protection locked="0"/>
    </xf>
    <xf numFmtId="0" fontId="6" fillId="3" borderId="93" xfId="1" applyFont="1" applyFill="1" applyBorder="1" applyAlignment="1" applyProtection="1">
      <alignment horizontal="center" vertical="center"/>
      <protection locked="0"/>
    </xf>
    <xf numFmtId="3" fontId="6" fillId="3" borderId="29" xfId="1" applyNumberFormat="1" applyFont="1" applyFill="1" applyBorder="1" applyAlignment="1" applyProtection="1">
      <alignment horizontal="right" vertical="center"/>
      <protection locked="0"/>
    </xf>
    <xf numFmtId="3" fontId="6" fillId="3" borderId="30" xfId="1" applyNumberFormat="1" applyFont="1" applyFill="1" applyBorder="1" applyAlignment="1" applyProtection="1">
      <alignment horizontal="right" vertical="center"/>
      <protection locked="0"/>
    </xf>
    <xf numFmtId="3" fontId="6" fillId="3" borderId="56" xfId="1" applyNumberFormat="1" applyFont="1" applyFill="1" applyBorder="1" applyAlignment="1" applyProtection="1">
      <alignment horizontal="right" vertical="center"/>
      <protection locked="0"/>
    </xf>
    <xf numFmtId="0" fontId="6" fillId="3" borderId="94" xfId="1" applyFont="1" applyFill="1" applyBorder="1" applyAlignment="1" applyProtection="1">
      <alignment horizontal="center" vertical="center"/>
      <protection locked="0"/>
    </xf>
    <xf numFmtId="0" fontId="6" fillId="3" borderId="95" xfId="1" applyFont="1" applyFill="1" applyBorder="1" applyAlignment="1" applyProtection="1">
      <alignment horizontal="center" vertical="center" wrapText="1"/>
      <protection locked="0"/>
    </xf>
    <xf numFmtId="0" fontId="6" fillId="0" borderId="96" xfId="1" applyFont="1" applyBorder="1" applyAlignment="1" applyProtection="1">
      <alignment vertical="center" wrapText="1"/>
      <protection locked="0"/>
    </xf>
    <xf numFmtId="3" fontId="47" fillId="3" borderId="97" xfId="1" applyNumberFormat="1" applyFont="1" applyFill="1" applyBorder="1" applyAlignment="1" applyProtection="1">
      <alignment horizontal="right" vertical="center"/>
      <protection locked="0"/>
    </xf>
    <xf numFmtId="3" fontId="6" fillId="3" borderId="98" xfId="1" applyNumberFormat="1" applyFont="1" applyFill="1" applyBorder="1" applyAlignment="1" applyProtection="1">
      <alignment horizontal="right" vertical="center"/>
      <protection locked="0"/>
    </xf>
    <xf numFmtId="3" fontId="6" fillId="0" borderId="98" xfId="1" applyNumberFormat="1" applyFont="1" applyFill="1" applyBorder="1" applyAlignment="1">
      <alignment horizontal="right" vertical="center"/>
    </xf>
    <xf numFmtId="3" fontId="6" fillId="3" borderId="96" xfId="1" applyNumberFormat="1" applyFont="1" applyFill="1" applyBorder="1" applyAlignment="1" applyProtection="1">
      <alignment horizontal="right" vertical="center"/>
      <protection locked="0"/>
    </xf>
    <xf numFmtId="0" fontId="6" fillId="0" borderId="99" xfId="1" applyFont="1" applyBorder="1" applyAlignment="1" applyProtection="1">
      <alignment horizontal="center" vertical="center"/>
      <protection locked="0"/>
    </xf>
    <xf numFmtId="0" fontId="6" fillId="0" borderId="26" xfId="1" applyFont="1" applyBorder="1" applyAlignment="1" applyProtection="1">
      <alignment vertical="center" wrapText="1"/>
      <protection locked="0"/>
    </xf>
    <xf numFmtId="3" fontId="6" fillId="0" borderId="76" xfId="1" applyNumberFormat="1" applyFont="1" applyBorder="1" applyAlignment="1" applyProtection="1">
      <alignment horizontal="right" vertical="center"/>
      <protection locked="0"/>
    </xf>
    <xf numFmtId="3" fontId="6" fillId="0" borderId="77" xfId="1" applyNumberFormat="1" applyFont="1" applyBorder="1" applyAlignment="1" applyProtection="1">
      <alignment horizontal="right" vertical="center"/>
      <protection locked="0"/>
    </xf>
    <xf numFmtId="3" fontId="6" fillId="0" borderId="77" xfId="1" applyNumberFormat="1" applyFont="1" applyFill="1" applyBorder="1" applyAlignment="1">
      <alignment horizontal="right" vertical="center"/>
    </xf>
    <xf numFmtId="3" fontId="6" fillId="0" borderId="26" xfId="1" applyNumberFormat="1" applyFont="1" applyBorder="1" applyAlignment="1" applyProtection="1">
      <alignment horizontal="right" vertical="center"/>
      <protection locked="0"/>
    </xf>
    <xf numFmtId="0" fontId="6" fillId="3" borderId="28" xfId="1" applyFont="1" applyFill="1" applyBorder="1" applyAlignment="1" applyProtection="1">
      <alignment horizontal="center" vertical="center"/>
      <protection locked="0"/>
    </xf>
    <xf numFmtId="3" fontId="6" fillId="0" borderId="0" xfId="1" applyNumberFormat="1" applyFont="1" applyBorder="1" applyAlignment="1" applyProtection="1">
      <alignment horizontal="right" vertical="center"/>
      <protection locked="0"/>
    </xf>
    <xf numFmtId="0" fontId="6" fillId="0" borderId="94" xfId="1" applyFont="1" applyBorder="1" applyAlignment="1" applyProtection="1">
      <alignment horizontal="center" vertical="center"/>
      <protection locked="0"/>
    </xf>
    <xf numFmtId="0" fontId="6" fillId="3" borderId="100" xfId="1" applyFont="1" applyFill="1" applyBorder="1" applyAlignment="1" applyProtection="1">
      <alignment horizontal="center" vertical="center"/>
      <protection locked="0"/>
    </xf>
    <xf numFmtId="3" fontId="6" fillId="0" borderId="98" xfId="1" applyNumberFormat="1" applyFont="1" applyBorder="1" applyAlignment="1" applyProtection="1">
      <alignment horizontal="right" vertical="center"/>
      <protection locked="0"/>
    </xf>
    <xf numFmtId="3" fontId="52" fillId="0" borderId="98" xfId="1" applyNumberFormat="1" applyFont="1" applyBorder="1" applyAlignment="1" applyProtection="1">
      <alignment horizontal="right" vertical="center"/>
      <protection locked="0"/>
    </xf>
    <xf numFmtId="3" fontId="6" fillId="0" borderId="96" xfId="1" applyNumberFormat="1" applyFont="1" applyBorder="1" applyAlignment="1" applyProtection="1">
      <alignment horizontal="right" vertical="center"/>
      <protection locked="0"/>
    </xf>
    <xf numFmtId="0" fontId="6" fillId="3" borderId="101" xfId="1" applyFont="1" applyFill="1" applyBorder="1" applyAlignment="1" applyProtection="1">
      <alignment horizontal="center" vertical="center"/>
      <protection locked="0"/>
    </xf>
    <xf numFmtId="0" fontId="6" fillId="0" borderId="83" xfId="1" applyFont="1" applyBorder="1" applyAlignment="1" applyProtection="1">
      <alignment horizontal="center" vertical="center"/>
      <protection locked="0"/>
    </xf>
    <xf numFmtId="0" fontId="6" fillId="3" borderId="95" xfId="1" applyFont="1" applyFill="1" applyBorder="1" applyAlignment="1" applyProtection="1">
      <alignment horizontal="right" vertical="center"/>
      <protection locked="0"/>
    </xf>
    <xf numFmtId="49" fontId="15" fillId="0" borderId="26" xfId="1" applyNumberFormat="1" applyFont="1" applyBorder="1" applyAlignment="1" applyProtection="1">
      <alignment vertical="center" wrapText="1"/>
      <protection locked="0"/>
    </xf>
    <xf numFmtId="3" fontId="6" fillId="0" borderId="102" xfId="1" applyNumberFormat="1" applyFont="1" applyFill="1" applyBorder="1" applyAlignment="1">
      <alignment horizontal="right" vertical="center"/>
    </xf>
    <xf numFmtId="3" fontId="6" fillId="0" borderId="97" xfId="1" applyNumberFormat="1" applyFont="1" applyBorder="1" applyAlignment="1" applyProtection="1">
      <alignment horizontal="right" vertical="center"/>
      <protection locked="0"/>
    </xf>
    <xf numFmtId="3" fontId="54" fillId="3" borderId="29" xfId="1" applyNumberFormat="1" applyFont="1" applyFill="1" applyBorder="1" applyAlignment="1" applyProtection="1">
      <alignment horizontal="right" vertical="center"/>
      <protection locked="0"/>
    </xf>
    <xf numFmtId="3" fontId="6" fillId="3" borderId="103" xfId="1" applyNumberFormat="1" applyFont="1" applyFill="1" applyBorder="1" applyAlignment="1" applyProtection="1">
      <alignment horizontal="right" vertical="center"/>
      <protection locked="0"/>
    </xf>
    <xf numFmtId="3" fontId="6" fillId="3" borderId="104" xfId="1" applyNumberFormat="1" applyFont="1" applyFill="1" applyBorder="1" applyAlignment="1" applyProtection="1">
      <alignment horizontal="right" vertical="center"/>
      <protection locked="0"/>
    </xf>
    <xf numFmtId="3" fontId="6" fillId="3" borderId="105" xfId="1" applyNumberFormat="1" applyFont="1" applyFill="1" applyBorder="1" applyAlignment="1" applyProtection="1">
      <alignment horizontal="right" vertical="center"/>
      <protection locked="0"/>
    </xf>
    <xf numFmtId="0" fontId="6" fillId="3" borderId="106" xfId="1" applyFont="1" applyFill="1" applyBorder="1" applyAlignment="1" applyProtection="1">
      <alignment horizontal="center" vertical="center"/>
      <protection locked="0"/>
    </xf>
    <xf numFmtId="49" fontId="15" fillId="0" borderId="96" xfId="1" applyNumberFormat="1" applyFont="1" applyBorder="1" applyAlignment="1" applyProtection="1">
      <alignment vertical="center" wrapText="1"/>
      <protection locked="0"/>
    </xf>
    <xf numFmtId="0" fontId="6" fillId="0" borderId="107" xfId="1" applyFont="1" applyBorder="1" applyAlignment="1" applyProtection="1">
      <alignment horizontal="center" vertical="center"/>
      <protection locked="0"/>
    </xf>
    <xf numFmtId="0" fontId="6" fillId="3" borderId="108" xfId="1" applyFont="1" applyFill="1" applyBorder="1" applyAlignment="1" applyProtection="1">
      <alignment horizontal="center" vertical="center"/>
      <protection locked="0"/>
    </xf>
    <xf numFmtId="49" fontId="15" fillId="0" borderId="109" xfId="1" applyNumberFormat="1" applyFont="1" applyBorder="1" applyAlignment="1" applyProtection="1">
      <alignment vertical="center" wrapText="1"/>
      <protection locked="0"/>
    </xf>
    <xf numFmtId="3" fontId="6" fillId="0" borderId="110" xfId="1" applyNumberFormat="1" applyFont="1" applyBorder="1" applyAlignment="1" applyProtection="1">
      <alignment horizontal="right" vertical="center"/>
      <protection locked="0"/>
    </xf>
    <xf numFmtId="3" fontId="6" fillId="0" borderId="111" xfId="1" applyNumberFormat="1" applyFont="1" applyBorder="1" applyAlignment="1" applyProtection="1">
      <alignment horizontal="right" vertical="center"/>
      <protection locked="0"/>
    </xf>
    <xf numFmtId="3" fontId="6" fillId="0" borderId="111" xfId="1" applyNumberFormat="1" applyFont="1" applyFill="1" applyBorder="1" applyAlignment="1">
      <alignment horizontal="right" vertical="center"/>
    </xf>
    <xf numFmtId="3" fontId="6" fillId="0" borderId="109" xfId="1" applyNumberFormat="1" applyFont="1" applyBorder="1" applyAlignment="1" applyProtection="1">
      <alignment horizontal="right" vertical="center"/>
      <protection locked="0"/>
    </xf>
    <xf numFmtId="0" fontId="6" fillId="0" borderId="15" xfId="1" applyFont="1" applyBorder="1" applyAlignment="1">
      <alignment horizontal="center" vertical="center"/>
    </xf>
    <xf numFmtId="0" fontId="6" fillId="0" borderId="112" xfId="1" applyFont="1" applyBorder="1" applyAlignment="1" applyProtection="1">
      <alignment vertical="center"/>
      <protection locked="0"/>
    </xf>
    <xf numFmtId="3" fontId="6" fillId="0" borderId="15" xfId="1" applyNumberFormat="1" applyFont="1" applyBorder="1" applyAlignment="1" applyProtection="1">
      <alignment vertical="center" wrapText="1"/>
      <protection locked="0"/>
    </xf>
    <xf numFmtId="3" fontId="6" fillId="0" borderId="112" xfId="1" applyNumberFormat="1" applyFont="1" applyBorder="1" applyAlignment="1" applyProtection="1">
      <alignment vertical="center" wrapText="1"/>
      <protection locked="0"/>
    </xf>
    <xf numFmtId="3" fontId="6" fillId="0" borderId="77" xfId="1" applyNumberFormat="1" applyFont="1" applyBorder="1" applyAlignment="1" applyProtection="1">
      <alignment vertical="center" wrapText="1"/>
      <protection locked="0"/>
    </xf>
    <xf numFmtId="3" fontId="6" fillId="0" borderId="26" xfId="1" applyNumberFormat="1" applyFont="1" applyBorder="1" applyAlignment="1" applyProtection="1">
      <alignment vertical="center" wrapText="1"/>
      <protection locked="0"/>
    </xf>
    <xf numFmtId="0" fontId="6" fillId="0" borderId="18" xfId="1" applyFont="1" applyBorder="1" applyAlignment="1" applyProtection="1">
      <alignment vertical="center"/>
      <protection locked="0"/>
    </xf>
    <xf numFmtId="3" fontId="6" fillId="0" borderId="14" xfId="1" applyNumberFormat="1" applyFont="1" applyBorder="1" applyAlignment="1" applyProtection="1">
      <alignment vertical="center" wrapText="1"/>
      <protection locked="0"/>
    </xf>
    <xf numFmtId="3" fontId="6" fillId="0" borderId="18" xfId="1" applyNumberFormat="1" applyFont="1" applyBorder="1" applyAlignment="1" applyProtection="1">
      <alignment vertical="center" wrapText="1"/>
      <protection locked="0"/>
    </xf>
    <xf numFmtId="0" fontId="6" fillId="0" borderId="7" xfId="1" applyFont="1" applyBorder="1" applyAlignment="1">
      <alignment horizontal="center" vertical="center"/>
    </xf>
    <xf numFmtId="0" fontId="6" fillId="0" borderId="52" xfId="1" applyFont="1" applyBorder="1" applyAlignment="1" applyProtection="1">
      <alignment vertical="center"/>
      <protection locked="0"/>
    </xf>
    <xf numFmtId="3" fontId="6" fillId="0" borderId="57" xfId="1" applyNumberFormat="1" applyFont="1" applyBorder="1" applyAlignment="1" applyProtection="1">
      <alignment vertical="center" wrapText="1"/>
      <protection locked="0"/>
    </xf>
    <xf numFmtId="3" fontId="6" fillId="0" borderId="52" xfId="1" applyNumberFormat="1" applyFont="1" applyBorder="1" applyAlignment="1" applyProtection="1">
      <alignment vertical="center" wrapText="1"/>
      <protection locked="0"/>
    </xf>
    <xf numFmtId="3" fontId="6" fillId="0" borderId="80" xfId="1" applyNumberFormat="1" applyFont="1" applyBorder="1" applyAlignment="1" applyProtection="1">
      <alignment vertical="center" wrapText="1"/>
      <protection locked="0"/>
    </xf>
    <xf numFmtId="0" fontId="6" fillId="0" borderId="17" xfId="1" applyFont="1" applyBorder="1" applyAlignment="1">
      <alignment horizontal="center" vertical="center"/>
    </xf>
    <xf numFmtId="0" fontId="8" fillId="0" borderId="19" xfId="1" applyFont="1" applyFill="1" applyBorder="1" applyAlignment="1" applyProtection="1">
      <alignment vertical="center"/>
      <protection locked="0"/>
    </xf>
    <xf numFmtId="3" fontId="8" fillId="0" borderId="4" xfId="1" applyNumberFormat="1" applyFont="1" applyBorder="1" applyAlignment="1" applyProtection="1">
      <alignment vertical="center" wrapText="1"/>
      <protection hidden="1"/>
    </xf>
    <xf numFmtId="3" fontId="8" fillId="0" borderId="31" xfId="1" applyNumberFormat="1" applyFont="1" applyBorder="1" applyAlignment="1" applyProtection="1">
      <alignment vertical="center" wrapText="1"/>
      <protection hidden="1"/>
    </xf>
    <xf numFmtId="3" fontId="8" fillId="0" borderId="5" xfId="1" applyNumberFormat="1" applyFont="1" applyBorder="1" applyAlignment="1" applyProtection="1">
      <alignment vertical="center" wrapText="1"/>
      <protection hidden="1"/>
    </xf>
    <xf numFmtId="3" fontId="8" fillId="0" borderId="19" xfId="1" applyNumberFormat="1" applyFont="1" applyBorder="1" applyAlignment="1" applyProtection="1">
      <alignment vertical="center" wrapText="1"/>
      <protection hidden="1"/>
    </xf>
    <xf numFmtId="3" fontId="5" fillId="0" borderId="0" xfId="1" applyNumberFormat="1" applyFont="1" applyAlignment="1">
      <alignment vertical="center"/>
    </xf>
    <xf numFmtId="4" fontId="6" fillId="0" borderId="0" xfId="1" applyNumberFormat="1" applyFont="1" applyAlignment="1" applyProtection="1">
      <alignment vertical="center"/>
      <protection locked="0"/>
    </xf>
    <xf numFmtId="4" fontId="6" fillId="0" borderId="0" xfId="1" applyNumberFormat="1" applyFont="1" applyAlignment="1" applyProtection="1">
      <alignment horizontal="center" vertical="center"/>
      <protection locked="0"/>
    </xf>
    <xf numFmtId="0" fontId="6" fillId="3" borderId="61" xfId="1" applyFont="1" applyFill="1" applyBorder="1" applyAlignment="1">
      <alignment horizontal="center" vertical="center"/>
    </xf>
    <xf numFmtId="0" fontId="6" fillId="3" borderId="95" xfId="1" applyFont="1" applyFill="1" applyBorder="1" applyAlignment="1">
      <alignment horizontal="center" vertical="center" wrapText="1"/>
    </xf>
    <xf numFmtId="0" fontId="6" fillId="0" borderId="113" xfId="1" applyFont="1" applyFill="1" applyBorder="1" applyAlignment="1">
      <alignment horizontal="center" vertical="center"/>
    </xf>
    <xf numFmtId="0" fontId="6" fillId="3" borderId="113" xfId="1" applyFont="1" applyFill="1" applyBorder="1" applyAlignment="1">
      <alignment horizontal="center" vertical="center"/>
    </xf>
    <xf numFmtId="0" fontId="6" fillId="2" borderId="79" xfId="1" applyFont="1" applyFill="1" applyBorder="1" applyAlignment="1">
      <alignment horizontal="center" vertical="center"/>
    </xf>
    <xf numFmtId="0" fontId="8" fillId="2" borderId="13" xfId="4" applyFont="1" applyFill="1" applyBorder="1" applyAlignment="1">
      <alignment horizontal="left" vertical="center"/>
    </xf>
    <xf numFmtId="0" fontId="6" fillId="2" borderId="50" xfId="1" applyFont="1" applyFill="1" applyBorder="1" applyAlignment="1">
      <alignment vertical="center"/>
    </xf>
    <xf numFmtId="0" fontId="6" fillId="2" borderId="16" xfId="1" applyFont="1" applyFill="1" applyBorder="1" applyAlignment="1">
      <alignment vertical="center"/>
    </xf>
    <xf numFmtId="3" fontId="8" fillId="2" borderId="50" xfId="1" applyNumberFormat="1" applyFont="1" applyFill="1" applyBorder="1" applyAlignment="1">
      <alignment vertical="center"/>
    </xf>
    <xf numFmtId="3" fontId="8" fillId="2" borderId="2" xfId="1" applyNumberFormat="1" applyFont="1" applyFill="1" applyBorder="1" applyAlignment="1">
      <alignment vertical="center"/>
    </xf>
    <xf numFmtId="0" fontId="6" fillId="0" borderId="114" xfId="1" applyFont="1" applyBorder="1" applyAlignment="1">
      <alignment horizontal="center" vertical="center"/>
    </xf>
    <xf numFmtId="0" fontId="6" fillId="3" borderId="115" xfId="4" applyFont="1" applyFill="1" applyBorder="1" applyAlignment="1">
      <alignment horizontal="left" vertical="center"/>
    </xf>
    <xf numFmtId="0" fontId="6" fillId="0" borderId="116" xfId="1" applyFont="1" applyBorder="1" applyAlignment="1">
      <alignment vertical="center"/>
    </xf>
    <xf numFmtId="0" fontId="6" fillId="3" borderId="116" xfId="1" applyFont="1" applyFill="1" applyBorder="1" applyAlignment="1">
      <alignment vertical="center"/>
    </xf>
    <xf numFmtId="0" fontId="6" fillId="3" borderId="117" xfId="1" applyFont="1" applyFill="1" applyBorder="1" applyAlignment="1">
      <alignment vertical="center"/>
    </xf>
    <xf numFmtId="3" fontId="6" fillId="6" borderId="116" xfId="1" applyNumberFormat="1" applyFont="1" applyFill="1" applyBorder="1" applyAlignment="1">
      <alignment vertical="center"/>
    </xf>
    <xf numFmtId="3" fontId="6" fillId="6" borderId="118" xfId="1" applyNumberFormat="1" applyFont="1" applyFill="1" applyBorder="1" applyAlignment="1">
      <alignment vertical="center"/>
    </xf>
    <xf numFmtId="0" fontId="6" fillId="0" borderId="106" xfId="1" applyFont="1" applyBorder="1" applyAlignment="1">
      <alignment horizontal="center" vertical="center"/>
    </xf>
    <xf numFmtId="0" fontId="8" fillId="3" borderId="119" xfId="4" applyFont="1" applyFill="1" applyBorder="1" applyAlignment="1">
      <alignment horizontal="left" vertical="center"/>
    </xf>
    <xf numFmtId="0" fontId="6" fillId="0" borderId="120" xfId="1" applyFont="1" applyBorder="1" applyAlignment="1">
      <alignment vertical="center"/>
    </xf>
    <xf numFmtId="0" fontId="6" fillId="3" borderId="120" xfId="1" applyFont="1" applyFill="1" applyBorder="1" applyAlignment="1">
      <alignment vertical="center"/>
    </xf>
    <xf numFmtId="0" fontId="6" fillId="3" borderId="97" xfId="1" applyFont="1" applyFill="1" applyBorder="1" applyAlignment="1">
      <alignment vertical="center"/>
    </xf>
    <xf numFmtId="3" fontId="6" fillId="6" borderId="120" xfId="1" applyNumberFormat="1" applyFont="1" applyFill="1" applyBorder="1" applyAlignment="1">
      <alignment vertical="center"/>
    </xf>
    <xf numFmtId="3" fontId="6" fillId="6" borderId="98" xfId="1" applyNumberFormat="1" applyFont="1" applyFill="1" applyBorder="1" applyAlignment="1">
      <alignment vertical="center"/>
    </xf>
    <xf numFmtId="3" fontId="6" fillId="6" borderId="121" xfId="1" applyNumberFormat="1" applyFont="1" applyFill="1" applyBorder="1" applyAlignment="1">
      <alignment vertical="center"/>
    </xf>
    <xf numFmtId="164" fontId="6" fillId="3" borderId="98" xfId="1" applyNumberFormat="1" applyFont="1" applyFill="1" applyBorder="1" applyAlignment="1">
      <alignment horizontal="center" vertical="center"/>
    </xf>
    <xf numFmtId="0" fontId="6" fillId="0" borderId="108" xfId="1" applyFont="1" applyBorder="1" applyAlignment="1">
      <alignment horizontal="center" vertical="center"/>
    </xf>
    <xf numFmtId="0" fontId="8" fillId="3" borderId="122" xfId="4" applyFont="1" applyFill="1" applyBorder="1" applyAlignment="1">
      <alignment horizontal="left" vertical="center"/>
    </xf>
    <xf numFmtId="0" fontId="6" fillId="0" borderId="123" xfId="1" applyFont="1" applyBorder="1" applyAlignment="1">
      <alignment vertical="center"/>
    </xf>
    <xf numFmtId="0" fontId="6" fillId="3" borderId="123" xfId="1" applyFont="1" applyFill="1" applyBorder="1" applyAlignment="1">
      <alignment vertical="center"/>
    </xf>
    <xf numFmtId="0" fontId="6" fillId="3" borderId="110" xfId="1" applyFont="1" applyFill="1" applyBorder="1" applyAlignment="1">
      <alignment vertical="center"/>
    </xf>
    <xf numFmtId="3" fontId="6" fillId="6" borderId="123" xfId="1" applyNumberFormat="1" applyFont="1" applyFill="1" applyBorder="1" applyAlignment="1">
      <alignment vertical="center"/>
    </xf>
    <xf numFmtId="3" fontId="6" fillId="6" borderId="111" xfId="1" applyNumberFormat="1" applyFont="1" applyFill="1" applyBorder="1" applyAlignment="1">
      <alignment vertical="center"/>
    </xf>
    <xf numFmtId="4" fontId="6" fillId="0" borderId="0" xfId="1" applyNumberFormat="1" applyFont="1" applyAlignment="1">
      <alignment vertical="center"/>
    </xf>
    <xf numFmtId="0" fontId="6" fillId="6" borderId="0" xfId="1" applyFont="1" applyFill="1" applyAlignment="1">
      <alignment vertical="center"/>
    </xf>
    <xf numFmtId="4" fontId="9" fillId="6" borderId="0" xfId="1" applyNumberFormat="1" applyFont="1" applyFill="1" applyAlignment="1">
      <alignment vertical="center"/>
    </xf>
    <xf numFmtId="0" fontId="9" fillId="6" borderId="0" xfId="1" applyFont="1" applyFill="1" applyAlignment="1">
      <alignment vertical="center"/>
    </xf>
    <xf numFmtId="4" fontId="9" fillId="0" borderId="0" xfId="1" applyNumberFormat="1" applyFont="1" applyAlignment="1">
      <alignment vertical="center"/>
    </xf>
    <xf numFmtId="0" fontId="9" fillId="0" borderId="0" xfId="1" applyFont="1" applyAlignment="1">
      <alignment vertical="center"/>
    </xf>
    <xf numFmtId="0" fontId="6" fillId="0" borderId="0" xfId="1" applyFont="1" applyFill="1" applyBorder="1" applyAlignment="1">
      <alignment vertical="center"/>
    </xf>
    <xf numFmtId="4" fontId="6" fillId="0" borderId="0" xfId="1" applyNumberFormat="1" applyFont="1" applyFill="1" applyBorder="1" applyAlignment="1">
      <alignment vertical="center"/>
    </xf>
    <xf numFmtId="4" fontId="6" fillId="0" borderId="0" xfId="1" applyNumberFormat="1" applyFont="1" applyAlignment="1" applyProtection="1">
      <alignment horizontal="right" vertical="center"/>
      <protection locked="0"/>
    </xf>
    <xf numFmtId="167" fontId="6" fillId="0" borderId="6" xfId="1" applyNumberFormat="1" applyFont="1" applyBorder="1" applyAlignment="1" applyProtection="1">
      <alignment vertical="center"/>
      <protection locked="0"/>
    </xf>
    <xf numFmtId="0" fontId="6" fillId="0" borderId="25" xfId="1" applyFont="1" applyBorder="1" applyAlignment="1" applyProtection="1">
      <alignment vertical="center"/>
      <protection locked="0"/>
    </xf>
    <xf numFmtId="167" fontId="6" fillId="0" borderId="87" xfId="1" applyNumberFormat="1" applyFont="1" applyBorder="1" applyAlignment="1" applyProtection="1">
      <alignment vertical="center"/>
      <protection locked="0"/>
    </xf>
    <xf numFmtId="0" fontId="6" fillId="0" borderId="2" xfId="1" applyFont="1" applyBorder="1" applyAlignment="1" applyProtection="1">
      <alignment vertical="center"/>
      <protection locked="0"/>
    </xf>
    <xf numFmtId="167" fontId="6" fillId="0" borderId="8" xfId="1" applyNumberFormat="1" applyFont="1" applyBorder="1" applyAlignment="1" applyProtection="1">
      <alignment vertical="center"/>
      <protection locked="0"/>
    </xf>
    <xf numFmtId="0" fontId="6" fillId="0" borderId="5" xfId="1" applyFont="1" applyBorder="1" applyAlignment="1" applyProtection="1">
      <alignment vertical="center"/>
      <protection locked="0"/>
    </xf>
    <xf numFmtId="167" fontId="6" fillId="0" borderId="6" xfId="1" applyNumberFormat="1" applyFont="1" applyBorder="1" applyAlignment="1" applyProtection="1">
      <alignment vertical="center"/>
      <protection hidden="1"/>
    </xf>
    <xf numFmtId="0" fontId="6" fillId="0" borderId="30" xfId="1" applyFont="1" applyFill="1" applyBorder="1" applyAlignment="1" applyProtection="1">
      <alignment vertical="center"/>
      <protection locked="0"/>
    </xf>
    <xf numFmtId="167" fontId="6" fillId="0" borderId="56" xfId="1" applyNumberFormat="1" applyFont="1" applyBorder="1" applyAlignment="1" applyProtection="1">
      <alignment vertical="center"/>
      <protection locked="0"/>
    </xf>
    <xf numFmtId="0" fontId="7" fillId="0" borderId="0" xfId="1" applyFont="1" applyAlignment="1" applyProtection="1">
      <protection locked="0"/>
    </xf>
    <xf numFmtId="0" fontId="6" fillId="0" borderId="0" xfId="1" applyFont="1" applyProtection="1">
      <protection locked="0"/>
    </xf>
    <xf numFmtId="0" fontId="6" fillId="0" borderId="0" xfId="1" applyFont="1"/>
    <xf numFmtId="4" fontId="6" fillId="0" borderId="0" xfId="1" applyNumberFormat="1" applyFont="1" applyAlignment="1" applyProtection="1">
      <alignment horizontal="right"/>
      <protection locked="0"/>
    </xf>
    <xf numFmtId="167" fontId="6" fillId="0" borderId="19" xfId="1" applyNumberFormat="1" applyFont="1" applyBorder="1" applyAlignment="1" applyProtection="1">
      <alignment vertical="center"/>
      <protection locked="0"/>
    </xf>
    <xf numFmtId="0" fontId="6" fillId="0" borderId="90" xfId="1" applyFont="1" applyBorder="1" applyAlignment="1" applyProtection="1">
      <alignment vertical="center"/>
      <protection locked="0"/>
    </xf>
    <xf numFmtId="167" fontId="6" fillId="0" borderId="92" xfId="1" applyNumberFormat="1" applyFont="1" applyBorder="1" applyAlignment="1" applyProtection="1">
      <alignment vertical="center"/>
      <protection locked="0"/>
    </xf>
    <xf numFmtId="0" fontId="0" fillId="0" borderId="124" xfId="0" applyBorder="1" applyAlignment="1">
      <alignment horizontal="center" vertical="center"/>
    </xf>
    <xf numFmtId="0" fontId="6" fillId="0" borderId="27" xfId="1" applyFont="1" applyBorder="1" applyAlignment="1" applyProtection="1">
      <alignment vertical="center"/>
      <protection locked="0"/>
    </xf>
    <xf numFmtId="167" fontId="6" fillId="0" borderId="18" xfId="1" applyNumberFormat="1" applyFont="1" applyBorder="1" applyAlignment="1" applyProtection="1">
      <alignment horizontal="right" vertical="center"/>
      <protection locked="0"/>
    </xf>
    <xf numFmtId="0" fontId="6" fillId="0" borderId="27" xfId="1" applyFont="1" applyBorder="1" applyAlignment="1" applyProtection="1">
      <alignment horizontal="justify" vertical="top" wrapText="1"/>
      <protection locked="0"/>
    </xf>
    <xf numFmtId="167" fontId="6" fillId="0" borderId="18" xfId="1" applyNumberFormat="1" applyFont="1" applyBorder="1" applyAlignment="1" applyProtection="1">
      <alignment horizontal="right" vertical="top" wrapText="1"/>
      <protection locked="0"/>
    </xf>
    <xf numFmtId="0" fontId="8" fillId="0" borderId="27" xfId="1" applyFont="1" applyBorder="1" applyProtection="1">
      <protection locked="0"/>
    </xf>
    <xf numFmtId="167" fontId="8" fillId="0" borderId="18" xfId="1" applyNumberFormat="1" applyFont="1" applyBorder="1" applyAlignment="1" applyProtection="1">
      <alignment horizontal="right" vertical="center"/>
      <protection locked="0"/>
    </xf>
    <xf numFmtId="0" fontId="6" fillId="0" borderId="28" xfId="1" applyFont="1" applyBorder="1" applyAlignment="1" applyProtection="1">
      <alignment vertical="center"/>
      <protection locked="0"/>
    </xf>
    <xf numFmtId="167" fontId="6" fillId="0" borderId="52" xfId="1" applyNumberFormat="1" applyFont="1" applyBorder="1" applyAlignment="1" applyProtection="1">
      <alignment horizontal="right" vertical="center"/>
      <protection locked="0"/>
    </xf>
    <xf numFmtId="0" fontId="0" fillId="0" borderId="85" xfId="0" applyBorder="1" applyAlignment="1">
      <alignment horizontal="center" vertical="center"/>
    </xf>
    <xf numFmtId="0" fontId="6" fillId="0" borderId="3" xfId="1" applyFont="1" applyBorder="1" applyAlignment="1" applyProtection="1">
      <alignment vertical="center"/>
      <protection locked="0"/>
    </xf>
    <xf numFmtId="167" fontId="6" fillId="0" borderId="19" xfId="1" applyNumberFormat="1" applyFont="1" applyBorder="1" applyAlignment="1" applyProtection="1">
      <alignment horizontal="right" vertical="center"/>
      <protection hidden="1"/>
    </xf>
    <xf numFmtId="0" fontId="8" fillId="0" borderId="0" xfId="1" applyFont="1"/>
    <xf numFmtId="0" fontId="8" fillId="0" borderId="83" xfId="1" applyFont="1" applyBorder="1" applyAlignment="1" applyProtection="1">
      <alignment horizontal="justify" vertical="top" wrapText="1"/>
      <protection locked="0"/>
    </xf>
    <xf numFmtId="167" fontId="8" fillId="0" borderId="112" xfId="1" applyNumberFormat="1" applyFont="1" applyBorder="1" applyAlignment="1" applyProtection="1">
      <alignment horizontal="right" vertical="top" wrapText="1"/>
      <protection locked="0"/>
    </xf>
    <xf numFmtId="0" fontId="6" fillId="0" borderId="83" xfId="1" applyFont="1" applyBorder="1" applyAlignment="1" applyProtection="1">
      <alignment horizontal="justify" vertical="top" wrapText="1"/>
      <protection locked="0"/>
    </xf>
    <xf numFmtId="167" fontId="6" fillId="0" borderId="112" xfId="1" applyNumberFormat="1" applyFont="1" applyBorder="1" applyAlignment="1" applyProtection="1">
      <alignment horizontal="right" vertical="top" wrapText="1"/>
      <protection locked="0"/>
    </xf>
    <xf numFmtId="0" fontId="8" fillId="0" borderId="27" xfId="1" applyFont="1" applyBorder="1" applyAlignment="1" applyProtection="1">
      <alignment horizontal="justify" vertical="top" wrapText="1"/>
      <protection locked="0"/>
    </xf>
    <xf numFmtId="167" fontId="8" fillId="0" borderId="18" xfId="1" applyNumberFormat="1" applyFont="1" applyBorder="1" applyAlignment="1" applyProtection="1">
      <alignment horizontal="right" vertical="top" wrapText="1"/>
      <protection locked="0"/>
    </xf>
    <xf numFmtId="0" fontId="8" fillId="0" borderId="28" xfId="1" applyFont="1" applyBorder="1" applyAlignment="1" applyProtection="1">
      <alignment horizontal="justify" vertical="top" wrapText="1"/>
      <protection locked="0"/>
    </xf>
    <xf numFmtId="167" fontId="8" fillId="0" borderId="52" xfId="1" applyNumberFormat="1" applyFont="1" applyBorder="1" applyAlignment="1" applyProtection="1">
      <alignment horizontal="right" vertical="top" wrapText="1"/>
      <protection locked="0"/>
    </xf>
    <xf numFmtId="167" fontId="6" fillId="0" borderId="19" xfId="1" applyNumberFormat="1" applyFont="1" applyBorder="1" applyAlignment="1" applyProtection="1">
      <alignment vertical="center"/>
      <protection hidden="1"/>
    </xf>
    <xf numFmtId="167" fontId="6" fillId="0" borderId="0" xfId="1" applyNumberFormat="1" applyFont="1" applyProtection="1">
      <protection locked="0"/>
    </xf>
    <xf numFmtId="167" fontId="6" fillId="0" borderId="0" xfId="1" applyNumberFormat="1" applyFont="1"/>
    <xf numFmtId="4" fontId="6" fillId="0" borderId="0" xfId="1" applyNumberFormat="1" applyFont="1"/>
    <xf numFmtId="4" fontId="12" fillId="0" borderId="0" xfId="1" applyNumberFormat="1" applyFont="1" applyBorder="1" applyAlignment="1" applyProtection="1">
      <alignment horizontal="right" vertical="center" wrapText="1"/>
      <protection locked="0"/>
    </xf>
    <xf numFmtId="0" fontId="6" fillId="0" borderId="66" xfId="1" applyFont="1" applyFill="1" applyBorder="1" applyAlignment="1" applyProtection="1">
      <alignment horizontal="left" vertical="center"/>
      <protection locked="0"/>
    </xf>
    <xf numFmtId="0" fontId="12" fillId="0" borderId="30" xfId="1" applyFont="1" applyFill="1" applyBorder="1" applyAlignment="1" applyProtection="1">
      <alignment vertical="center" wrapText="1"/>
      <protection locked="0"/>
    </xf>
    <xf numFmtId="167" fontId="12" fillId="0" borderId="26" xfId="1" applyNumberFormat="1" applyFont="1" applyBorder="1" applyAlignment="1" applyProtection="1">
      <alignment horizontal="right" vertical="center" wrapText="1"/>
      <protection locked="0"/>
    </xf>
    <xf numFmtId="0" fontId="12" fillId="0" borderId="0" xfId="1" applyFont="1" applyBorder="1" applyAlignment="1">
      <alignment horizontal="right" vertical="center" wrapText="1"/>
    </xf>
    <xf numFmtId="0" fontId="12" fillId="0" borderId="0" xfId="1" applyFont="1" applyBorder="1" applyAlignment="1">
      <alignment vertical="center" wrapText="1"/>
    </xf>
    <xf numFmtId="0" fontId="12" fillId="0" borderId="2" xfId="1" applyFont="1" applyFill="1" applyBorder="1" applyAlignment="1" applyProtection="1">
      <alignment vertical="center" wrapText="1"/>
      <protection locked="0"/>
    </xf>
    <xf numFmtId="0" fontId="12" fillId="0" borderId="30" xfId="1" applyFont="1" applyBorder="1" applyAlignment="1" applyProtection="1">
      <alignment vertical="center" wrapText="1"/>
      <protection locked="0"/>
    </xf>
    <xf numFmtId="167" fontId="12" fillId="0" borderId="125" xfId="1" applyNumberFormat="1" applyFont="1" applyBorder="1" applyAlignment="1" applyProtection="1">
      <alignment horizontal="right" vertical="center" wrapText="1"/>
      <protection locked="0"/>
    </xf>
    <xf numFmtId="0" fontId="12" fillId="0" borderId="5" xfId="1" applyFont="1" applyBorder="1" applyAlignment="1" applyProtection="1">
      <alignment horizontal="left" vertical="center" wrapText="1"/>
      <protection locked="0"/>
    </xf>
    <xf numFmtId="167" fontId="12" fillId="0" borderId="6" xfId="1" applyNumberFormat="1" applyFont="1" applyBorder="1" applyAlignment="1" applyProtection="1">
      <alignment horizontal="right" vertical="center" wrapText="1"/>
      <protection hidden="1"/>
    </xf>
    <xf numFmtId="0" fontId="12" fillId="0" borderId="9" xfId="1" applyFont="1" applyBorder="1" applyAlignment="1" applyProtection="1">
      <alignment horizontal="left" vertical="center" wrapText="1"/>
      <protection locked="0"/>
    </xf>
    <xf numFmtId="167" fontId="12" fillId="0" borderId="87" xfId="1" applyNumberFormat="1" applyFont="1" applyBorder="1" applyAlignment="1" applyProtection="1">
      <alignment horizontal="right" vertical="center" wrapText="1"/>
      <protection locked="0"/>
    </xf>
    <xf numFmtId="0" fontId="12" fillId="0" borderId="0" xfId="1" applyFont="1" applyAlignment="1">
      <alignment vertical="center" wrapText="1"/>
    </xf>
    <xf numFmtId="0" fontId="34" fillId="0" borderId="126" xfId="1" applyFont="1" applyBorder="1" applyAlignment="1" applyProtection="1">
      <alignment horizontal="left" vertical="center" wrapText="1"/>
      <protection locked="0"/>
    </xf>
    <xf numFmtId="0" fontId="12" fillId="0" borderId="0" xfId="1" applyFont="1" applyBorder="1" applyAlignment="1" applyProtection="1">
      <alignment vertical="center" wrapText="1"/>
      <protection locked="0"/>
    </xf>
    <xf numFmtId="4" fontId="6" fillId="0" borderId="0" xfId="1" applyNumberFormat="1" applyFont="1" applyBorder="1" applyAlignment="1" applyProtection="1">
      <alignment vertical="center"/>
      <protection hidden="1"/>
    </xf>
    <xf numFmtId="0" fontId="12" fillId="0" borderId="0" xfId="1" applyFont="1" applyAlignment="1">
      <alignment horizontal="right" vertical="center" wrapText="1"/>
    </xf>
    <xf numFmtId="0" fontId="12" fillId="0" borderId="0" xfId="1" applyFont="1" applyAlignment="1" applyProtection="1">
      <alignment vertical="center" wrapText="1"/>
      <protection locked="0"/>
    </xf>
    <xf numFmtId="4" fontId="12" fillId="0" borderId="0" xfId="1" applyNumberFormat="1" applyFont="1" applyAlignment="1" applyProtection="1">
      <alignment vertical="center" wrapText="1"/>
      <protection locked="0"/>
    </xf>
    <xf numFmtId="0" fontId="12" fillId="0" borderId="0" xfId="1" applyFont="1" applyFill="1" applyAlignment="1" applyProtection="1">
      <alignment vertical="center" wrapText="1"/>
      <protection locked="0"/>
    </xf>
    <xf numFmtId="4" fontId="20" fillId="0" borderId="0" xfId="1" applyNumberFormat="1" applyFont="1" applyAlignment="1" applyProtection="1">
      <alignment vertical="center" wrapText="1"/>
      <protection locked="0"/>
    </xf>
    <xf numFmtId="0" fontId="6" fillId="0" borderId="0" xfId="1" applyFont="1" applyFill="1" applyBorder="1" applyAlignment="1" applyProtection="1">
      <alignment vertical="center"/>
      <protection locked="0"/>
    </xf>
    <xf numFmtId="4" fontId="6" fillId="0" borderId="0" xfId="1" applyNumberFormat="1" applyFont="1" applyFill="1" applyBorder="1" applyAlignment="1" applyProtection="1">
      <alignment vertical="center"/>
      <protection locked="0"/>
    </xf>
    <xf numFmtId="0" fontId="32" fillId="0" borderId="0" xfId="1" applyFont="1" applyFill="1" applyBorder="1" applyAlignment="1" applyProtection="1">
      <alignment horizontal="center" vertical="center" wrapText="1"/>
      <protection locked="0"/>
    </xf>
    <xf numFmtId="4" fontId="32" fillId="0" borderId="0" xfId="1" applyNumberFormat="1" applyFont="1" applyFill="1" applyBorder="1" applyAlignment="1" applyProtection="1">
      <alignment vertical="center" wrapText="1"/>
      <protection locked="0"/>
    </xf>
    <xf numFmtId="0" fontId="32" fillId="0" borderId="0" xfId="1" applyFont="1" applyFill="1" applyBorder="1" applyAlignment="1">
      <alignment vertical="center" wrapText="1"/>
    </xf>
    <xf numFmtId="0" fontId="32" fillId="0" borderId="0" xfId="1" applyFont="1" applyFill="1" applyBorder="1" applyAlignment="1">
      <alignment horizontal="center" vertical="center" wrapText="1"/>
    </xf>
    <xf numFmtId="4" fontId="32" fillId="0" borderId="0" xfId="1" applyNumberFormat="1" applyFont="1" applyFill="1" applyBorder="1" applyAlignment="1" applyProtection="1">
      <alignment horizontal="center" vertical="center" wrapText="1"/>
      <protection locked="0"/>
    </xf>
    <xf numFmtId="0" fontId="6" fillId="0" borderId="0" xfId="1" applyFont="1" applyFill="1" applyBorder="1" applyAlignment="1">
      <alignment vertical="center" wrapText="1"/>
    </xf>
    <xf numFmtId="4" fontId="32" fillId="0" borderId="0" xfId="1" applyNumberFormat="1" applyFont="1" applyFill="1" applyBorder="1" applyAlignment="1">
      <alignment horizontal="center" vertical="center" wrapText="1"/>
    </xf>
    <xf numFmtId="0" fontId="32" fillId="0" borderId="0" xfId="1" applyFont="1" applyFill="1" applyBorder="1" applyAlignment="1">
      <alignment horizontal="justify" vertical="center" wrapText="1"/>
    </xf>
    <xf numFmtId="4" fontId="32" fillId="0" borderId="0" xfId="1" applyNumberFormat="1" applyFont="1" applyFill="1" applyBorder="1" applyAlignment="1">
      <alignment horizontal="justify" vertical="center" wrapText="1"/>
    </xf>
    <xf numFmtId="0" fontId="7" fillId="0" borderId="0" xfId="1" applyFont="1" applyProtection="1">
      <protection locked="0"/>
    </xf>
    <xf numFmtId="4" fontId="12" fillId="0" borderId="0" xfId="1" applyNumberFormat="1" applyFont="1" applyBorder="1" applyAlignment="1" applyProtection="1">
      <alignment horizontal="right" vertical="top" wrapText="1"/>
      <protection locked="0"/>
    </xf>
    <xf numFmtId="0" fontId="6" fillId="0" borderId="30" xfId="1" applyFont="1" applyBorder="1" applyAlignment="1" applyProtection="1">
      <alignment vertical="center"/>
      <protection locked="0"/>
    </xf>
    <xf numFmtId="167" fontId="6" fillId="0" borderId="6" xfId="1" applyNumberFormat="1" applyFont="1" applyBorder="1" applyAlignment="1" applyProtection="1">
      <alignment vertical="center"/>
    </xf>
    <xf numFmtId="167" fontId="6" fillId="0" borderId="26" xfId="1" applyNumberFormat="1" applyFont="1" applyBorder="1" applyAlignment="1" applyProtection="1">
      <alignment vertical="center"/>
      <protection locked="0"/>
    </xf>
    <xf numFmtId="4" fontId="6" fillId="0" borderId="0" xfId="1" applyNumberFormat="1" applyFont="1" applyProtection="1">
      <protection locked="0"/>
    </xf>
    <xf numFmtId="0" fontId="55" fillId="0" borderId="13" xfId="1" applyFont="1" applyBorder="1" applyAlignment="1" applyProtection="1">
      <alignment horizontal="right" vertical="center"/>
      <protection locked="0"/>
    </xf>
    <xf numFmtId="0" fontId="55" fillId="0" borderId="50" xfId="1" applyFont="1" applyBorder="1" applyAlignment="1" applyProtection="1">
      <alignment horizontal="right" vertical="center"/>
      <protection locked="0"/>
    </xf>
    <xf numFmtId="0" fontId="55" fillId="0" borderId="50" xfId="1" applyFont="1" applyBorder="1" applyAlignment="1">
      <alignment horizontal="right" vertical="center"/>
    </xf>
    <xf numFmtId="0" fontId="55" fillId="0" borderId="16" xfId="1" applyFont="1" applyBorder="1" applyAlignment="1">
      <alignment horizontal="right" vertical="center"/>
    </xf>
    <xf numFmtId="0" fontId="6" fillId="0" borderId="4" xfId="1" applyFont="1" applyBorder="1" applyAlignment="1" applyProtection="1">
      <alignment horizontal="center" vertical="center"/>
      <protection locked="0"/>
    </xf>
    <xf numFmtId="0" fontId="6" fillId="0" borderId="127"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4" fontId="6" fillId="0" borderId="5" xfId="1" applyNumberFormat="1" applyFont="1" applyBorder="1" applyAlignment="1" applyProtection="1">
      <alignment horizontal="center" vertical="center"/>
      <protection locked="0"/>
    </xf>
    <xf numFmtId="4" fontId="6" fillId="0" borderId="6" xfId="1" applyNumberFormat="1" applyFont="1" applyBorder="1" applyAlignment="1" applyProtection="1">
      <alignment horizontal="center" vertical="center"/>
      <protection locked="0"/>
    </xf>
    <xf numFmtId="0" fontId="55" fillId="0" borderId="2" xfId="1" applyFont="1" applyBorder="1" applyAlignment="1" applyProtection="1">
      <alignment horizontal="right" vertical="center"/>
      <protection locked="0"/>
    </xf>
    <xf numFmtId="0" fontId="55" fillId="0" borderId="2" xfId="1" applyFont="1" applyBorder="1" applyAlignment="1">
      <alignment horizontal="right" vertical="center"/>
    </xf>
    <xf numFmtId="0" fontId="6" fillId="0" borderId="77" xfId="1" applyFont="1" applyBorder="1" applyAlignment="1" applyProtection="1">
      <alignment vertical="center"/>
      <protection locked="0"/>
    </xf>
    <xf numFmtId="167" fontId="6" fillId="0" borderId="77" xfId="1" applyNumberFormat="1" applyFont="1" applyBorder="1" applyAlignment="1" applyProtection="1">
      <alignment vertical="center"/>
      <protection locked="0"/>
    </xf>
    <xf numFmtId="167" fontId="6" fillId="0" borderId="26" xfId="1" applyNumberFormat="1" applyFont="1" applyBorder="1" applyAlignment="1" applyProtection="1">
      <alignment vertical="center"/>
    </xf>
    <xf numFmtId="167" fontId="55" fillId="0" borderId="2" xfId="1" applyNumberFormat="1" applyFont="1" applyBorder="1" applyAlignment="1" applyProtection="1">
      <alignment horizontal="right" vertical="center"/>
      <protection locked="0"/>
    </xf>
    <xf numFmtId="167" fontId="55" fillId="0" borderId="2" xfId="1" applyNumberFormat="1" applyFont="1" applyBorder="1" applyAlignment="1">
      <alignment horizontal="right" vertical="center"/>
    </xf>
    <xf numFmtId="167" fontId="6" fillId="0" borderId="2" xfId="1" applyNumberFormat="1" applyFont="1" applyBorder="1" applyAlignment="1" applyProtection="1">
      <alignment vertical="center"/>
      <protection locked="0"/>
    </xf>
    <xf numFmtId="167" fontId="6" fillId="0" borderId="8" xfId="1" applyNumberFormat="1" applyFont="1" applyBorder="1" applyAlignment="1" applyProtection="1">
      <alignment vertical="center"/>
    </xf>
    <xf numFmtId="167" fontId="56" fillId="0" borderId="2" xfId="1" applyNumberFormat="1" applyFont="1" applyBorder="1" applyAlignment="1" applyProtection="1">
      <alignment horizontal="right" vertical="center" wrapText="1"/>
      <protection locked="0"/>
    </xf>
    <xf numFmtId="167" fontId="6" fillId="0" borderId="8" xfId="1" applyNumberFormat="1" applyFont="1" applyBorder="1" applyAlignment="1" applyProtection="1">
      <alignment horizontal="right" vertical="center" wrapText="1"/>
    </xf>
    <xf numFmtId="0" fontId="6" fillId="0" borderId="89" xfId="1" applyFont="1" applyBorder="1" applyAlignment="1" applyProtection="1">
      <alignment vertical="center"/>
      <protection locked="0"/>
    </xf>
    <xf numFmtId="167" fontId="6" fillId="0" borderId="56" xfId="1" applyNumberFormat="1" applyFont="1" applyBorder="1" applyAlignment="1" applyProtection="1">
      <alignment horizontal="right" vertical="center" wrapText="1"/>
    </xf>
    <xf numFmtId="167" fontId="55" fillId="0" borderId="2" xfId="1" applyNumberFormat="1" applyFont="1" applyFill="1" applyBorder="1" applyAlignment="1" applyProtection="1">
      <alignment horizontal="right" vertical="center"/>
      <protection locked="0"/>
    </xf>
    <xf numFmtId="0" fontId="6" fillId="0" borderId="127" xfId="1" applyFont="1" applyBorder="1" applyAlignment="1" applyProtection="1">
      <alignment vertical="center"/>
      <protection locked="0"/>
    </xf>
    <xf numFmtId="167" fontId="6" fillId="0" borderId="5" xfId="1" applyNumberFormat="1" applyFont="1" applyBorder="1" applyAlignment="1" applyProtection="1">
      <alignment horizontal="right" vertical="center" wrapText="1"/>
      <protection locked="0"/>
    </xf>
    <xf numFmtId="167" fontId="6" fillId="0" borderId="19" xfId="1" applyNumberFormat="1" applyFont="1" applyBorder="1" applyAlignment="1" applyProtection="1">
      <alignment horizontal="right" vertical="center" wrapText="1"/>
    </xf>
    <xf numFmtId="0" fontId="6" fillId="0" borderId="128" xfId="1" applyFont="1" applyBorder="1" applyAlignment="1" applyProtection="1">
      <alignment vertical="center"/>
      <protection locked="0"/>
    </xf>
    <xf numFmtId="167" fontId="6" fillId="0" borderId="25" xfId="1" applyNumberFormat="1" applyFont="1" applyBorder="1" applyAlignment="1" applyProtection="1">
      <alignment vertical="center"/>
      <protection locked="0"/>
    </xf>
    <xf numFmtId="167" fontId="6" fillId="0" borderId="92" xfId="1" applyNumberFormat="1" applyFont="1" applyBorder="1" applyAlignment="1" applyProtection="1">
      <alignment vertical="center"/>
    </xf>
    <xf numFmtId="0" fontId="6" fillId="0" borderId="13" xfId="1" applyFont="1" applyBorder="1" applyAlignment="1" applyProtection="1">
      <alignment vertical="center"/>
      <protection locked="0"/>
    </xf>
    <xf numFmtId="167" fontId="6" fillId="0" borderId="112" xfId="1" applyNumberFormat="1" applyFont="1" applyBorder="1" applyAlignment="1" applyProtection="1">
      <alignment vertical="center"/>
    </xf>
    <xf numFmtId="167" fontId="6" fillId="0" borderId="18" xfId="1" applyNumberFormat="1" applyFont="1" applyBorder="1" applyAlignment="1" applyProtection="1">
      <alignment vertical="center"/>
    </xf>
    <xf numFmtId="0" fontId="6" fillId="0" borderId="68" xfId="1" applyFont="1" applyBorder="1" applyAlignment="1" applyProtection="1">
      <alignment vertical="center"/>
      <protection locked="0"/>
    </xf>
    <xf numFmtId="167" fontId="6" fillId="0" borderId="5" xfId="1" applyNumberFormat="1" applyFont="1" applyBorder="1" applyAlignment="1" applyProtection="1">
      <alignment vertical="center"/>
    </xf>
    <xf numFmtId="167" fontId="6" fillId="0" borderId="19" xfId="1" applyNumberFormat="1" applyFont="1" applyBorder="1" applyAlignment="1" applyProtection="1">
      <alignment vertical="center"/>
    </xf>
    <xf numFmtId="0" fontId="6" fillId="0" borderId="75" xfId="1" applyFont="1" applyBorder="1" applyAlignment="1" applyProtection="1">
      <alignment vertical="center"/>
      <protection locked="0"/>
    </xf>
    <xf numFmtId="167" fontId="6" fillId="0" borderId="77" xfId="1" applyNumberFormat="1" applyFont="1" applyBorder="1" applyAlignment="1" applyProtection="1">
      <alignment vertical="center"/>
      <protection hidden="1"/>
    </xf>
    <xf numFmtId="0" fontId="20" fillId="0" borderId="0" xfId="1" applyFont="1" applyAlignment="1">
      <alignment vertical="center"/>
    </xf>
    <xf numFmtId="4" fontId="36" fillId="0" borderId="0" xfId="1" applyNumberFormat="1" applyFont="1" applyAlignment="1">
      <alignment vertical="center"/>
    </xf>
    <xf numFmtId="167" fontId="6" fillId="0" borderId="0" xfId="1" applyNumberFormat="1" applyFont="1" applyAlignment="1">
      <alignment vertical="center"/>
    </xf>
    <xf numFmtId="0" fontId="7" fillId="0" borderId="0" xfId="1" applyFont="1" applyProtection="1"/>
    <xf numFmtId="0" fontId="6" fillId="0" borderId="0" xfId="1" applyFont="1" applyProtection="1"/>
    <xf numFmtId="4" fontId="6" fillId="0" borderId="0" xfId="1" applyNumberFormat="1" applyFont="1" applyProtection="1"/>
    <xf numFmtId="4" fontId="12" fillId="0" borderId="0" xfId="1" applyNumberFormat="1" applyFont="1" applyBorder="1" applyAlignment="1" applyProtection="1">
      <alignment horizontal="right" vertical="top" wrapText="1"/>
    </xf>
    <xf numFmtId="0" fontId="6" fillId="0" borderId="129" xfId="1" applyFont="1" applyBorder="1" applyAlignment="1" applyProtection="1">
      <alignment horizontal="center" vertical="center"/>
      <protection locked="0"/>
    </xf>
    <xf numFmtId="0" fontId="6" fillId="0" borderId="24" xfId="1" applyFont="1" applyBorder="1" applyAlignment="1" applyProtection="1">
      <alignment vertical="center"/>
      <protection locked="0"/>
    </xf>
    <xf numFmtId="0" fontId="12" fillId="0" borderId="0" xfId="1" applyFont="1" applyBorder="1" applyAlignment="1" applyProtection="1">
      <alignment horizontal="right" vertical="top" wrapText="1"/>
    </xf>
    <xf numFmtId="0" fontId="6" fillId="0" borderId="0" xfId="1" applyFont="1" applyFill="1" applyBorder="1" applyProtection="1"/>
    <xf numFmtId="0" fontId="20" fillId="0" borderId="79" xfId="1" applyFont="1" applyBorder="1" applyAlignment="1" applyProtection="1">
      <alignment vertical="center"/>
      <protection locked="0"/>
    </xf>
    <xf numFmtId="0" fontId="32" fillId="0" borderId="0" xfId="1" applyFont="1" applyFill="1" applyBorder="1" applyAlignment="1" applyProtection="1">
      <alignment vertical="top" wrapText="1"/>
    </xf>
    <xf numFmtId="0" fontId="32" fillId="0" borderId="0" xfId="1" applyFont="1" applyFill="1" applyBorder="1" applyAlignment="1" applyProtection="1">
      <alignment horizontal="center" vertical="top" wrapText="1"/>
    </xf>
    <xf numFmtId="0" fontId="6" fillId="0" borderId="79" xfId="1" applyFont="1" applyBorder="1" applyAlignment="1" applyProtection="1">
      <alignment vertical="center"/>
      <protection locked="0"/>
    </xf>
    <xf numFmtId="0" fontId="6" fillId="0" borderId="130" xfId="1" applyFont="1" applyBorder="1" applyProtection="1">
      <protection locked="0"/>
    </xf>
    <xf numFmtId="0" fontId="32" fillId="0" borderId="0" xfId="1" applyFont="1" applyFill="1" applyBorder="1" applyAlignment="1" applyProtection="1">
      <alignment horizontal="justify" vertical="top" wrapText="1"/>
    </xf>
    <xf numFmtId="0" fontId="6" fillId="0" borderId="82" xfId="1" applyFont="1" applyBorder="1" applyAlignment="1" applyProtection="1">
      <alignment vertical="center"/>
      <protection locked="0"/>
    </xf>
    <xf numFmtId="167" fontId="6" fillId="0" borderId="6" xfId="1" applyNumberFormat="1" applyFont="1" applyBorder="1" applyAlignment="1">
      <alignment vertical="center"/>
    </xf>
    <xf numFmtId="167" fontId="6" fillId="0" borderId="19" xfId="1" applyNumberFormat="1" applyFont="1" applyBorder="1" applyAlignment="1">
      <alignment vertical="center"/>
    </xf>
    <xf numFmtId="4" fontId="6" fillId="0" borderId="0" xfId="1" applyNumberFormat="1" applyFont="1" applyFill="1" applyBorder="1" applyProtection="1"/>
    <xf numFmtId="0" fontId="6" fillId="0" borderId="131" xfId="1" applyFont="1" applyBorder="1" applyAlignment="1">
      <alignment vertical="center"/>
    </xf>
    <xf numFmtId="0" fontId="20" fillId="0" borderId="0" xfId="1" applyFont="1" applyFill="1" applyBorder="1" applyProtection="1"/>
    <xf numFmtId="0" fontId="36" fillId="0" borderId="0" xfId="1" applyFont="1" applyFill="1" applyBorder="1" applyProtection="1"/>
    <xf numFmtId="0" fontId="7" fillId="0" borderId="0" xfId="1" applyFont="1"/>
    <xf numFmtId="0" fontId="6" fillId="0" borderId="50" xfId="1" applyFont="1" applyBorder="1"/>
    <xf numFmtId="0" fontId="6" fillId="0" borderId="16" xfId="1" applyFont="1" applyBorder="1"/>
    <xf numFmtId="4" fontId="12" fillId="0" borderId="0" xfId="1" applyNumberFormat="1" applyFont="1" applyBorder="1" applyAlignment="1">
      <alignment horizontal="right" vertical="top" wrapText="1"/>
    </xf>
    <xf numFmtId="0" fontId="6" fillId="0" borderId="2" xfId="1" applyFont="1" applyBorder="1" applyAlignment="1">
      <alignment horizontal="center"/>
    </xf>
    <xf numFmtId="0" fontId="12" fillId="0" borderId="0" xfId="1" applyFont="1" applyBorder="1" applyAlignment="1">
      <alignment horizontal="right" vertical="top" wrapText="1"/>
    </xf>
    <xf numFmtId="0" fontId="12" fillId="0" borderId="0" xfId="1" applyFont="1" applyBorder="1" applyAlignment="1">
      <alignment vertical="top" wrapText="1"/>
    </xf>
    <xf numFmtId="167" fontId="6" fillId="0" borderId="2" xfId="1" applyNumberFormat="1" applyFont="1" applyBorder="1" applyAlignment="1"/>
    <xf numFmtId="167" fontId="12" fillId="0" borderId="2" xfId="1" applyNumberFormat="1" applyFont="1" applyBorder="1" applyAlignment="1">
      <alignment vertical="top" wrapText="1"/>
    </xf>
    <xf numFmtId="0" fontId="6" fillId="0" borderId="14" xfId="1" applyFont="1" applyBorder="1" applyAlignment="1" applyProtection="1">
      <alignment vertical="center"/>
      <protection locked="0"/>
    </xf>
    <xf numFmtId="0" fontId="12" fillId="0" borderId="0" xfId="1" applyFont="1" applyAlignment="1">
      <alignment vertical="top" wrapText="1"/>
    </xf>
    <xf numFmtId="0" fontId="6" fillId="0" borderId="4" xfId="1" applyFont="1" applyBorder="1" applyAlignment="1" applyProtection="1">
      <alignment vertical="center"/>
      <protection locked="0"/>
    </xf>
    <xf numFmtId="0" fontId="6" fillId="0" borderId="0" xfId="1" applyFont="1" applyFill="1" applyBorder="1"/>
    <xf numFmtId="167" fontId="6" fillId="0" borderId="2" xfId="1" applyNumberFormat="1" applyFont="1" applyFill="1" applyBorder="1" applyAlignment="1"/>
    <xf numFmtId="167" fontId="6" fillId="0" borderId="2" xfId="1" applyNumberFormat="1" applyFont="1" applyFill="1" applyBorder="1" applyAlignment="1">
      <alignment vertical="top" wrapText="1"/>
    </xf>
    <xf numFmtId="0" fontId="32" fillId="0" borderId="0" xfId="1" applyFont="1" applyFill="1" applyBorder="1" applyAlignment="1">
      <alignment horizontal="center" vertical="top" wrapText="1"/>
    </xf>
    <xf numFmtId="0" fontId="32" fillId="0" borderId="0" xfId="1" applyFont="1" applyFill="1" applyBorder="1" applyAlignment="1">
      <alignment horizontal="justify" vertical="top" wrapText="1"/>
    </xf>
    <xf numFmtId="0" fontId="6" fillId="0" borderId="57" xfId="1" applyFont="1" applyBorder="1" applyAlignment="1" applyProtection="1">
      <alignment vertical="center"/>
      <protection locked="0"/>
    </xf>
    <xf numFmtId="0" fontId="6" fillId="0" borderId="0" xfId="1" applyFont="1" applyFill="1" applyBorder="1" applyProtection="1">
      <protection locked="0"/>
    </xf>
    <xf numFmtId="4" fontId="6" fillId="0" borderId="0" xfId="1" applyNumberFormat="1" applyFont="1" applyFill="1" applyBorder="1" applyProtection="1">
      <protection locked="0"/>
    </xf>
    <xf numFmtId="167" fontId="6" fillId="0" borderId="0" xfId="1" applyNumberFormat="1" applyFont="1" applyFill="1" applyBorder="1" applyAlignment="1"/>
    <xf numFmtId="167" fontId="6" fillId="0" borderId="0" xfId="1" applyNumberFormat="1" applyFont="1" applyAlignment="1"/>
    <xf numFmtId="4" fontId="6" fillId="0" borderId="0" xfId="1" applyNumberFormat="1" applyFont="1" applyFill="1" applyBorder="1"/>
    <xf numFmtId="3" fontId="28" fillId="0" borderId="14" xfId="1" applyNumberFormat="1" applyFont="1" applyBorder="1" applyAlignment="1" applyProtection="1">
      <alignment vertical="center" wrapText="1"/>
      <protection locked="0"/>
    </xf>
    <xf numFmtId="3" fontId="28" fillId="0" borderId="26" xfId="1" applyNumberFormat="1" applyFont="1" applyBorder="1" applyAlignment="1" applyProtection="1">
      <alignment vertical="center" wrapText="1"/>
      <protection locked="0"/>
    </xf>
    <xf numFmtId="3" fontId="29" fillId="0" borderId="4" xfId="1" applyNumberFormat="1" applyFont="1" applyBorder="1" applyAlignment="1" applyProtection="1">
      <alignment vertical="center" wrapText="1"/>
      <protection hidden="1"/>
    </xf>
    <xf numFmtId="3" fontId="29" fillId="0" borderId="5" xfId="1" applyNumberFormat="1" applyFont="1" applyBorder="1" applyAlignment="1" applyProtection="1">
      <alignment vertical="center" wrapText="1"/>
      <protection hidden="1"/>
    </xf>
    <xf numFmtId="0" fontId="6" fillId="0" borderId="0" xfId="1" applyFont="1" applyFill="1" applyBorder="1" applyAlignment="1">
      <alignment vertical="top" wrapText="1"/>
    </xf>
    <xf numFmtId="167" fontId="6" fillId="0" borderId="18" xfId="1" applyNumberFormat="1" applyFont="1" applyFill="1" applyBorder="1" applyAlignment="1" applyProtection="1">
      <alignment horizontal="right" vertical="center"/>
      <protection locked="0"/>
    </xf>
    <xf numFmtId="3" fontId="20" fillId="0" borderId="97" xfId="1" applyNumberFormat="1" applyFont="1" applyBorder="1" applyAlignment="1" applyProtection="1">
      <alignment horizontal="right" vertical="center"/>
      <protection locked="0"/>
    </xf>
    <xf numFmtId="0" fontId="44" fillId="0" borderId="0" xfId="1" applyFont="1" applyAlignment="1" applyProtection="1">
      <alignment horizontal="right" vertical="center"/>
      <protection locked="0"/>
    </xf>
    <xf numFmtId="3" fontId="20" fillId="3" borderId="98" xfId="1" applyNumberFormat="1" applyFont="1" applyFill="1" applyBorder="1" applyAlignment="1" applyProtection="1">
      <alignment horizontal="right" vertical="center"/>
      <protection locked="0"/>
    </xf>
    <xf numFmtId="1" fontId="15" fillId="0" borderId="0" xfId="1" applyNumberFormat="1" applyFont="1" applyAlignment="1" applyProtection="1">
      <alignment vertical="center"/>
      <protection locked="0"/>
    </xf>
    <xf numFmtId="3" fontId="13" fillId="2" borderId="16" xfId="0" applyNumberFormat="1" applyFont="1" applyFill="1" applyBorder="1" applyAlignment="1">
      <alignment horizontal="right" vertical="center"/>
    </xf>
    <xf numFmtId="3" fontId="13" fillId="2" borderId="2" xfId="0" applyNumberFormat="1" applyFont="1" applyFill="1" applyBorder="1" applyAlignment="1">
      <alignment horizontal="right" vertical="center"/>
    </xf>
    <xf numFmtId="3" fontId="13" fillId="2" borderId="14" xfId="0" applyNumberFormat="1" applyFont="1" applyFill="1" applyBorder="1" applyAlignment="1">
      <alignment horizontal="right" vertical="center"/>
    </xf>
    <xf numFmtId="3" fontId="29" fillId="2" borderId="66" xfId="1" applyNumberFormat="1" applyFont="1" applyFill="1" applyBorder="1" applyAlignment="1">
      <alignment horizontal="right" vertical="center"/>
    </xf>
    <xf numFmtId="3" fontId="29" fillId="2" borderId="65" xfId="1" applyNumberFormat="1" applyFont="1" applyFill="1" applyBorder="1" applyAlignment="1">
      <alignment horizontal="right" vertical="center"/>
    </xf>
    <xf numFmtId="3" fontId="29" fillId="2" borderId="14" xfId="1" applyNumberFormat="1" applyFont="1" applyFill="1" applyBorder="1" applyAlignment="1">
      <alignment horizontal="right" vertical="center"/>
    </xf>
    <xf numFmtId="3" fontId="29" fillId="2" borderId="8" xfId="1" applyNumberFormat="1" applyFont="1" applyFill="1" applyBorder="1" applyAlignment="1">
      <alignment horizontal="right" vertical="center"/>
    </xf>
    <xf numFmtId="3" fontId="6" fillId="0" borderId="79" xfId="2" applyNumberFormat="1" applyFont="1" applyFill="1" applyBorder="1" applyAlignment="1">
      <alignment horizontal="right" vertical="center"/>
    </xf>
    <xf numFmtId="3" fontId="6" fillId="0" borderId="2" xfId="2" applyNumberFormat="1" applyFont="1" applyFill="1" applyBorder="1" applyAlignment="1">
      <alignment horizontal="right" vertical="center"/>
    </xf>
    <xf numFmtId="3" fontId="6" fillId="0" borderId="18" xfId="2" applyNumberFormat="1" applyFont="1" applyFill="1" applyBorder="1" applyAlignment="1">
      <alignment horizontal="right" vertical="center"/>
    </xf>
    <xf numFmtId="3" fontId="6" fillId="3" borderId="57" xfId="2" applyNumberFormat="1" applyFont="1" applyFill="1" applyBorder="1" applyAlignment="1">
      <alignment horizontal="right" vertical="center"/>
    </xf>
    <xf numFmtId="167" fontId="0" fillId="0" borderId="0" xfId="0" applyNumberFormat="1" applyAlignment="1">
      <alignment vertical="center"/>
    </xf>
    <xf numFmtId="167" fontId="0" fillId="0" borderId="0" xfId="0" applyNumberFormat="1" applyFont="1" applyAlignment="1">
      <alignment vertical="center"/>
    </xf>
    <xf numFmtId="167" fontId="1" fillId="0" borderId="0" xfId="0" applyNumberFormat="1" applyFont="1" applyFill="1" applyBorder="1" applyAlignment="1">
      <alignment vertical="center"/>
    </xf>
    <xf numFmtId="3" fontId="8" fillId="0" borderId="6" xfId="1" applyNumberFormat="1" applyFont="1" applyFill="1" applyBorder="1" applyAlignment="1" applyProtection="1">
      <alignment vertical="center" wrapText="1"/>
      <protection locked="0"/>
    </xf>
    <xf numFmtId="0" fontId="12" fillId="0" borderId="8" xfId="0" applyFont="1" applyBorder="1" applyAlignment="1">
      <alignment horizontal="center" vertical="center"/>
    </xf>
    <xf numFmtId="0" fontId="13" fillId="2" borderId="14" xfId="1" applyFont="1" applyFill="1" applyBorder="1" applyAlignment="1">
      <alignment horizontal="center" vertical="center"/>
    </xf>
    <xf numFmtId="0" fontId="13" fillId="2" borderId="74" xfId="1" applyFont="1" applyFill="1" applyBorder="1" applyAlignment="1">
      <alignment horizontal="left" vertical="center"/>
    </xf>
    <xf numFmtId="3" fontId="8" fillId="2" borderId="79" xfId="2" applyNumberFormat="1" applyFont="1" applyFill="1" applyBorder="1" applyAlignment="1">
      <alignment horizontal="right" vertical="center"/>
    </xf>
    <xf numFmtId="3" fontId="8" fillId="2" borderId="2" xfId="2" applyNumberFormat="1" applyFont="1" applyFill="1" applyBorder="1" applyAlignment="1">
      <alignment horizontal="right" vertical="center"/>
    </xf>
    <xf numFmtId="3" fontId="8" fillId="2" borderId="8" xfId="2" applyNumberFormat="1" applyFont="1" applyFill="1" applyBorder="1" applyAlignment="1">
      <alignment horizontal="right" vertical="center"/>
    </xf>
    <xf numFmtId="3" fontId="13" fillId="2" borderId="0" xfId="1" applyNumberFormat="1" applyFont="1" applyFill="1" applyAlignment="1">
      <alignment horizontal="right" vertical="center"/>
    </xf>
    <xf numFmtId="3" fontId="8" fillId="2" borderId="14" xfId="2" applyNumberFormat="1" applyFont="1" applyFill="1" applyBorder="1" applyAlignment="1">
      <alignment horizontal="right" vertical="center"/>
    </xf>
    <xf numFmtId="0" fontId="13" fillId="0" borderId="0" xfId="1" applyFont="1" applyAlignment="1">
      <alignment vertical="center"/>
    </xf>
    <xf numFmtId="0" fontId="13" fillId="0" borderId="14" xfId="1" applyFont="1" applyBorder="1" applyAlignment="1">
      <alignment horizontal="center" vertical="center"/>
    </xf>
    <xf numFmtId="0" fontId="13" fillId="0" borderId="50" xfId="1" applyFont="1" applyBorder="1" applyAlignment="1">
      <alignment vertical="center"/>
    </xf>
    <xf numFmtId="0" fontId="13" fillId="0" borderId="71" xfId="1" applyFont="1" applyBorder="1" applyAlignment="1">
      <alignment horizontal="left" vertical="center"/>
    </xf>
    <xf numFmtId="3" fontId="8" fillId="0" borderId="79" xfId="2" applyNumberFormat="1" applyFont="1" applyFill="1" applyBorder="1" applyAlignment="1">
      <alignment horizontal="right" vertical="center"/>
    </xf>
    <xf numFmtId="3" fontId="8" fillId="0" borderId="2" xfId="2" applyNumberFormat="1" applyFont="1" applyFill="1" applyBorder="1" applyAlignment="1">
      <alignment horizontal="right" vertical="center"/>
    </xf>
    <xf numFmtId="3" fontId="8" fillId="0" borderId="18" xfId="2" applyNumberFormat="1" applyFont="1" applyFill="1" applyBorder="1" applyAlignment="1">
      <alignment horizontal="right" vertical="center"/>
    </xf>
    <xf numFmtId="3" fontId="8" fillId="0" borderId="0" xfId="1" applyNumberFormat="1" applyFont="1" applyAlignment="1">
      <alignment horizontal="right" vertical="center"/>
    </xf>
    <xf numFmtId="3" fontId="8" fillId="0" borderId="14" xfId="2" applyNumberFormat="1" applyFont="1" applyFill="1" applyBorder="1" applyAlignment="1">
      <alignment horizontal="right" vertical="center"/>
    </xf>
    <xf numFmtId="3" fontId="8" fillId="0" borderId="8" xfId="2" applyNumberFormat="1" applyFont="1" applyFill="1" applyBorder="1" applyAlignment="1">
      <alignment horizontal="right" vertical="center"/>
    </xf>
    <xf numFmtId="0" fontId="12" fillId="0" borderId="14" xfId="1" applyFont="1" applyBorder="1" applyAlignment="1">
      <alignment horizontal="center" vertical="center"/>
    </xf>
    <xf numFmtId="0" fontId="12" fillId="0" borderId="50" xfId="1" applyFont="1" applyBorder="1" applyAlignment="1">
      <alignment vertical="center"/>
    </xf>
    <xf numFmtId="16" fontId="12" fillId="0" borderId="50" xfId="1" applyNumberFormat="1" applyFont="1" applyBorder="1" applyAlignment="1">
      <alignment horizontal="left" vertical="center"/>
    </xf>
    <xf numFmtId="0" fontId="12" fillId="0" borderId="50" xfId="1" applyFont="1" applyBorder="1" applyAlignment="1">
      <alignment horizontal="left" vertical="center"/>
    </xf>
    <xf numFmtId="0" fontId="12" fillId="0" borderId="71" xfId="1" applyFont="1" applyBorder="1" applyAlignment="1">
      <alignment horizontal="left" vertical="center"/>
    </xf>
    <xf numFmtId="3" fontId="6" fillId="0" borderId="0" xfId="1" applyNumberFormat="1" applyFont="1" applyAlignment="1">
      <alignment horizontal="right" vertical="center"/>
    </xf>
    <xf numFmtId="3" fontId="6" fillId="0" borderId="14" xfId="2" applyNumberFormat="1" applyFont="1" applyFill="1" applyBorder="1" applyAlignment="1">
      <alignment horizontal="right" vertical="center"/>
    </xf>
    <xf numFmtId="3" fontId="6" fillId="0" borderId="8" xfId="2" applyNumberFormat="1" applyFont="1" applyFill="1" applyBorder="1" applyAlignment="1">
      <alignment horizontal="right" vertical="center"/>
    </xf>
    <xf numFmtId="0" fontId="12" fillId="0" borderId="0" xfId="1" applyFont="1" applyAlignment="1">
      <alignment vertical="center"/>
    </xf>
    <xf numFmtId="0" fontId="12" fillId="0" borderId="72" xfId="1" applyFont="1" applyBorder="1" applyAlignment="1">
      <alignment vertical="center"/>
    </xf>
    <xf numFmtId="0" fontId="12" fillId="0" borderId="74" xfId="1" applyFont="1" applyBorder="1" applyAlignment="1">
      <alignment horizontal="left" vertical="center"/>
    </xf>
    <xf numFmtId="3" fontId="6" fillId="0" borderId="16" xfId="2" applyNumberFormat="1" applyFont="1" applyFill="1" applyBorder="1" applyAlignment="1">
      <alignment horizontal="right" vertical="center"/>
    </xf>
    <xf numFmtId="0" fontId="12" fillId="0" borderId="72" xfId="1" applyFont="1" applyBorder="1" applyAlignment="1">
      <alignment horizontal="left" vertical="center"/>
    </xf>
    <xf numFmtId="0" fontId="13" fillId="0" borderId="72" xfId="1" applyFont="1" applyBorder="1" applyAlignment="1">
      <alignment vertical="center"/>
    </xf>
    <xf numFmtId="0" fontId="13" fillId="0" borderId="74" xfId="1" applyFont="1" applyBorder="1" applyAlignment="1">
      <alignment horizontal="left" vertical="center"/>
    </xf>
    <xf numFmtId="3" fontId="8" fillId="0" borderId="16" xfId="2" applyNumberFormat="1" applyFont="1" applyFill="1" applyBorder="1" applyAlignment="1">
      <alignment horizontal="right" vertical="center"/>
    </xf>
    <xf numFmtId="0" fontId="13" fillId="2" borderId="71" xfId="1" applyFont="1" applyFill="1" applyBorder="1" applyAlignment="1">
      <alignment horizontal="center" vertical="center"/>
    </xf>
    <xf numFmtId="3" fontId="8" fillId="2" borderId="18" xfId="2" applyNumberFormat="1" applyFont="1" applyFill="1" applyBorder="1" applyAlignment="1">
      <alignment horizontal="right" vertical="center"/>
    </xf>
    <xf numFmtId="0" fontId="13" fillId="0" borderId="50" xfId="1" applyFont="1" applyBorder="1" applyAlignment="1">
      <alignment horizontal="left" vertical="center"/>
    </xf>
    <xf numFmtId="0" fontId="12" fillId="0" borderId="50" xfId="1" applyFont="1" applyBorder="1" applyAlignment="1">
      <alignment horizontal="center" vertical="center"/>
    </xf>
    <xf numFmtId="0" fontId="13" fillId="0" borderId="50" xfId="1" applyFont="1" applyBorder="1" applyAlignment="1">
      <alignment horizontal="center" vertical="center"/>
    </xf>
    <xf numFmtId="0" fontId="13" fillId="3" borderId="50" xfId="1" applyFont="1" applyFill="1" applyBorder="1" applyAlignment="1">
      <alignment horizontal="left" vertical="center"/>
    </xf>
    <xf numFmtId="0" fontId="42" fillId="3" borderId="71" xfId="1" applyFont="1" applyFill="1" applyBorder="1" applyAlignment="1">
      <alignment horizontal="right" vertical="center"/>
    </xf>
    <xf numFmtId="3" fontId="8" fillId="3" borderId="0" xfId="1" applyNumberFormat="1" applyFont="1" applyFill="1" applyAlignment="1">
      <alignment horizontal="right" vertical="center"/>
    </xf>
    <xf numFmtId="0" fontId="13" fillId="3" borderId="0" xfId="1" applyFont="1" applyFill="1" applyAlignment="1">
      <alignment vertical="center"/>
    </xf>
    <xf numFmtId="0" fontId="13" fillId="0" borderId="13" xfId="1" applyFont="1" applyBorder="1" applyAlignment="1">
      <alignment vertical="center"/>
    </xf>
    <xf numFmtId="49" fontId="13" fillId="0" borderId="71" xfId="1" applyNumberFormat="1" applyFont="1" applyBorder="1" applyAlignment="1">
      <alignment horizontal="left" vertical="center"/>
    </xf>
    <xf numFmtId="0" fontId="39" fillId="0" borderId="0" xfId="0" applyFont="1" applyAlignment="1">
      <alignment vertical="center"/>
    </xf>
    <xf numFmtId="0" fontId="13" fillId="0" borderId="72" xfId="0" applyFont="1" applyFill="1" applyBorder="1" applyAlignment="1">
      <alignment vertical="center"/>
    </xf>
    <xf numFmtId="0" fontId="13" fillId="2" borderId="71" xfId="0" applyFont="1" applyFill="1" applyBorder="1" applyAlignment="1">
      <alignment horizontal="left" vertical="center"/>
    </xf>
    <xf numFmtId="0" fontId="39" fillId="0" borderId="14" xfId="1" applyFont="1" applyBorder="1" applyAlignment="1">
      <alignment horizontal="center" vertical="center"/>
    </xf>
    <xf numFmtId="0" fontId="39" fillId="0" borderId="72" xfId="1" applyFont="1" applyBorder="1" applyAlignment="1">
      <alignment vertical="center"/>
    </xf>
    <xf numFmtId="0" fontId="39" fillId="0" borderId="50" xfId="1" applyFont="1" applyBorder="1" applyAlignment="1">
      <alignment vertical="center"/>
    </xf>
    <xf numFmtId="0" fontId="39" fillId="0" borderId="50" xfId="1" applyFont="1" applyBorder="1" applyAlignment="1">
      <alignment horizontal="left" vertical="center"/>
    </xf>
    <xf numFmtId="0" fontId="39" fillId="0" borderId="71" xfId="1" applyFont="1" applyBorder="1" applyAlignment="1">
      <alignment horizontal="left" vertical="center"/>
    </xf>
    <xf numFmtId="0" fontId="39" fillId="0" borderId="0" xfId="1" applyFont="1" applyAlignment="1">
      <alignment vertical="center"/>
    </xf>
    <xf numFmtId="0" fontId="12" fillId="0" borderId="1" xfId="1" applyFont="1" applyBorder="1" applyAlignment="1">
      <alignment horizontal="center" vertical="center" wrapText="1" shrinkToFit="1"/>
    </xf>
    <xf numFmtId="3" fontId="8" fillId="2" borderId="24" xfId="2" applyNumberFormat="1" applyFont="1" applyFill="1" applyBorder="1" applyAlignment="1">
      <alignment horizontal="right" vertical="center"/>
    </xf>
    <xf numFmtId="3" fontId="8" fillId="2" borderId="87" xfId="2" applyNumberFormat="1" applyFont="1" applyFill="1" applyBorder="1" applyAlignment="1">
      <alignment horizontal="right" vertical="center"/>
    </xf>
    <xf numFmtId="0" fontId="12" fillId="0" borderId="0" xfId="1" applyFont="1" applyFill="1" applyAlignment="1">
      <alignment vertical="center"/>
    </xf>
    <xf numFmtId="0" fontId="57" fillId="0" borderId="0" xfId="0" applyFont="1" applyAlignment="1">
      <alignment vertical="center"/>
    </xf>
    <xf numFmtId="0" fontId="1" fillId="0" borderId="0" xfId="1" applyFont="1" applyAlignment="1">
      <alignment vertical="center"/>
    </xf>
    <xf numFmtId="3" fontId="6" fillId="2" borderId="14" xfId="2" applyNumberFormat="1" applyFont="1" applyFill="1" applyBorder="1" applyAlignment="1">
      <alignment horizontal="right" vertical="center"/>
    </xf>
    <xf numFmtId="3" fontId="6" fillId="2" borderId="8" xfId="2" applyNumberFormat="1" applyFont="1" applyFill="1" applyBorder="1" applyAlignment="1">
      <alignment horizontal="right" vertical="center"/>
    </xf>
    <xf numFmtId="3" fontId="21" fillId="0" borderId="82" xfId="0" applyNumberFormat="1" applyFont="1" applyBorder="1" applyAlignment="1">
      <alignment vertical="center"/>
    </xf>
    <xf numFmtId="3" fontId="29" fillId="2" borderId="4" xfId="1" applyNumberFormat="1" applyFont="1" applyFill="1" applyBorder="1" applyAlignment="1" applyProtection="1">
      <alignment vertical="center" wrapText="1"/>
      <protection locked="0"/>
    </xf>
    <xf numFmtId="4" fontId="6" fillId="0" borderId="18" xfId="1" applyNumberFormat="1" applyFont="1" applyBorder="1" applyAlignment="1" applyProtection="1">
      <alignment vertical="center"/>
      <protection locked="0"/>
    </xf>
    <xf numFmtId="4" fontId="6" fillId="0" borderId="112" xfId="1" applyNumberFormat="1" applyFont="1" applyBorder="1" applyAlignment="1" applyProtection="1">
      <alignment vertical="center"/>
      <protection locked="0"/>
    </xf>
    <xf numFmtId="0" fontId="6" fillId="0" borderId="133" xfId="1" applyFont="1" applyFill="1" applyBorder="1" applyAlignment="1">
      <alignment horizontal="center" vertical="center" wrapText="1"/>
    </xf>
    <xf numFmtId="0" fontId="6" fillId="0" borderId="133" xfId="1" applyFont="1" applyFill="1" applyBorder="1" applyAlignment="1">
      <alignment horizontal="center" vertical="center"/>
    </xf>
    <xf numFmtId="0" fontId="6" fillId="0" borderId="134" xfId="1" applyFont="1" applyFill="1" applyBorder="1" applyAlignment="1">
      <alignment horizontal="center" vertical="center" wrapText="1"/>
    </xf>
    <xf numFmtId="0" fontId="60" fillId="3" borderId="0" xfId="1" applyFont="1" applyFill="1" applyAlignment="1">
      <alignment horizontal="right" vertical="center"/>
    </xf>
    <xf numFmtId="0" fontId="12" fillId="0" borderId="0" xfId="1" applyFont="1" applyFill="1" applyBorder="1" applyAlignment="1">
      <alignment horizontal="right" vertical="center"/>
    </xf>
    <xf numFmtId="0" fontId="1" fillId="0" borderId="0" xfId="1" applyFont="1" applyAlignment="1">
      <alignment horizontal="right" vertical="center"/>
    </xf>
    <xf numFmtId="167" fontId="61" fillId="0" borderId="0" xfId="0" applyNumberFormat="1" applyFont="1" applyFill="1" applyBorder="1" applyAlignment="1">
      <alignment vertical="center"/>
    </xf>
    <xf numFmtId="167" fontId="62" fillId="0" borderId="0" xfId="0" applyNumberFormat="1" applyFont="1" applyAlignment="1">
      <alignment vertical="center"/>
    </xf>
    <xf numFmtId="0" fontId="61" fillId="0" borderId="0" xfId="0" applyFont="1" applyFill="1" applyBorder="1" applyAlignment="1">
      <alignment vertical="center"/>
    </xf>
    <xf numFmtId="0" fontId="62" fillId="0" borderId="0" xfId="0" applyFont="1" applyAlignment="1">
      <alignment vertical="center"/>
    </xf>
    <xf numFmtId="0" fontId="24" fillId="0" borderId="8" xfId="0" applyFont="1" applyBorder="1" applyAlignment="1">
      <alignment horizontal="left" vertical="center" wrapText="1"/>
    </xf>
    <xf numFmtId="3" fontId="6" fillId="2" borderId="13" xfId="1" applyNumberFormat="1" applyFont="1" applyFill="1" applyBorder="1" applyAlignment="1">
      <alignment horizontal="right" vertical="center"/>
    </xf>
    <xf numFmtId="3" fontId="6" fillId="0" borderId="13" xfId="1" applyNumberFormat="1" applyFont="1" applyFill="1" applyBorder="1" applyAlignment="1">
      <alignment horizontal="right" vertical="center"/>
    </xf>
    <xf numFmtId="167" fontId="49" fillId="0" borderId="0" xfId="1" applyNumberFormat="1" applyFont="1" applyFill="1" applyBorder="1" applyAlignment="1">
      <alignment vertical="center"/>
    </xf>
    <xf numFmtId="167" fontId="49" fillId="0" borderId="0" xfId="1" applyNumberFormat="1" applyFont="1" applyAlignment="1">
      <alignment vertical="center"/>
    </xf>
    <xf numFmtId="167" fontId="16" fillId="0" borderId="0" xfId="1" applyNumberFormat="1" applyFont="1" applyFill="1" applyBorder="1" applyAlignment="1">
      <alignment vertical="center"/>
    </xf>
    <xf numFmtId="167" fontId="16" fillId="0" borderId="0" xfId="1" applyNumberFormat="1" applyFont="1" applyAlignment="1">
      <alignment vertical="center"/>
    </xf>
    <xf numFmtId="167" fontId="63" fillId="0" borderId="0" xfId="0" applyNumberFormat="1" applyFont="1" applyAlignment="1">
      <alignment vertical="center"/>
    </xf>
    <xf numFmtId="167" fontId="64" fillId="0" borderId="0" xfId="0" applyNumberFormat="1" applyFont="1" applyAlignment="1">
      <alignment vertical="center"/>
    </xf>
    <xf numFmtId="0" fontId="59" fillId="0" borderId="0" xfId="0" applyFont="1" applyAlignment="1">
      <alignment vertical="center"/>
    </xf>
    <xf numFmtId="0" fontId="60" fillId="0" borderId="0" xfId="1" applyFont="1"/>
    <xf numFmtId="3" fontId="8" fillId="2" borderId="25" xfId="2" applyNumberFormat="1" applyFont="1" applyFill="1" applyBorder="1" applyAlignment="1">
      <alignment horizontal="right" vertical="center"/>
    </xf>
    <xf numFmtId="3" fontId="13" fillId="0" borderId="0" xfId="1" applyNumberFormat="1" applyFont="1" applyAlignment="1">
      <alignment horizontal="right" vertical="center"/>
    </xf>
    <xf numFmtId="3" fontId="8" fillId="2" borderId="66" xfId="2" applyNumberFormat="1" applyFont="1" applyFill="1" applyBorder="1" applyAlignment="1">
      <alignment horizontal="right" vertical="center"/>
    </xf>
    <xf numFmtId="3" fontId="8" fillId="2" borderId="65" xfId="2" applyNumberFormat="1" applyFont="1" applyFill="1" applyBorder="1" applyAlignment="1">
      <alignment horizontal="right" vertical="center"/>
    </xf>
    <xf numFmtId="0" fontId="13" fillId="0" borderId="0" xfId="2" applyFont="1" applyAlignment="1">
      <alignment vertical="center"/>
    </xf>
    <xf numFmtId="3" fontId="13" fillId="2" borderId="0" xfId="0" applyNumberFormat="1" applyFont="1" applyFill="1" applyAlignment="1">
      <alignment horizontal="right" vertical="center"/>
    </xf>
    <xf numFmtId="0" fontId="12" fillId="0" borderId="0" xfId="2" applyFont="1" applyAlignment="1">
      <alignment vertical="center"/>
    </xf>
    <xf numFmtId="3" fontId="6" fillId="2" borderId="79" xfId="2" applyNumberFormat="1" applyFont="1" applyFill="1" applyBorder="1" applyAlignment="1">
      <alignment horizontal="right" vertical="center"/>
    </xf>
    <xf numFmtId="3" fontId="6" fillId="2" borderId="2" xfId="2" applyNumberFormat="1" applyFont="1" applyFill="1" applyBorder="1" applyAlignment="1">
      <alignment horizontal="right" vertical="center"/>
    </xf>
    <xf numFmtId="3" fontId="6" fillId="2" borderId="18" xfId="2" applyNumberFormat="1" applyFont="1" applyFill="1" applyBorder="1" applyAlignment="1">
      <alignment horizontal="right" vertical="center"/>
    </xf>
    <xf numFmtId="3" fontId="8" fillId="2" borderId="4" xfId="2" applyNumberFormat="1" applyFont="1" applyFill="1" applyBorder="1" applyAlignment="1">
      <alignment horizontal="right" vertical="center"/>
    </xf>
    <xf numFmtId="3" fontId="8" fillId="2" borderId="6" xfId="2" applyNumberFormat="1" applyFont="1" applyFill="1" applyBorder="1" applyAlignment="1">
      <alignment horizontal="right" vertical="center"/>
    </xf>
    <xf numFmtId="3" fontId="8" fillId="2" borderId="5" xfId="2" applyNumberFormat="1" applyFont="1" applyFill="1" applyBorder="1" applyAlignment="1">
      <alignment horizontal="right" vertical="center"/>
    </xf>
    <xf numFmtId="3" fontId="6" fillId="11" borderId="8" xfId="1" applyNumberFormat="1" applyFont="1" applyFill="1" applyBorder="1" applyAlignment="1">
      <alignment horizontal="right" vertical="center"/>
    </xf>
    <xf numFmtId="3" fontId="6" fillId="0" borderId="8" xfId="1" applyNumberFormat="1" applyFont="1" applyBorder="1" applyAlignment="1" applyProtection="1">
      <alignment horizontal="right" vertical="center" wrapText="1"/>
      <protection hidden="1"/>
    </xf>
    <xf numFmtId="3" fontId="13" fillId="2" borderId="6" xfId="0" applyNumberFormat="1" applyFont="1" applyFill="1" applyBorder="1" applyAlignment="1">
      <alignment vertical="center"/>
    </xf>
    <xf numFmtId="3" fontId="65" fillId="3" borderId="2" xfId="1" applyNumberFormat="1" applyFont="1" applyFill="1" applyBorder="1" applyAlignment="1" applyProtection="1">
      <alignment horizontal="right" vertical="center"/>
      <protection locked="0"/>
    </xf>
    <xf numFmtId="0" fontId="66" fillId="0" borderId="0" xfId="1" applyFont="1" applyAlignment="1" applyProtection="1">
      <alignment horizontal="right" vertical="center"/>
      <protection locked="0"/>
    </xf>
    <xf numFmtId="0" fontId="6" fillId="12" borderId="0" xfId="1" applyFont="1" applyFill="1" applyAlignment="1" applyProtection="1">
      <alignment horizontal="right" vertical="center"/>
      <protection locked="0"/>
    </xf>
    <xf numFmtId="0" fontId="6" fillId="12" borderId="0" xfId="1" applyFont="1" applyFill="1" applyBorder="1" applyAlignment="1" applyProtection="1">
      <alignment horizontal="center" vertical="center"/>
      <protection locked="0"/>
    </xf>
    <xf numFmtId="3" fontId="6" fillId="0" borderId="2" xfId="1" applyNumberFormat="1" applyFont="1" applyFill="1" applyBorder="1" applyAlignment="1" applyProtection="1">
      <alignment horizontal="right" vertical="center"/>
      <protection locked="0"/>
    </xf>
    <xf numFmtId="3" fontId="6" fillId="0" borderId="30" xfId="1" applyNumberFormat="1" applyFont="1" applyFill="1" applyBorder="1" applyAlignment="1" applyProtection="1">
      <alignment horizontal="right" vertical="center"/>
      <protection locked="0"/>
    </xf>
    <xf numFmtId="167" fontId="8" fillId="0" borderId="0" xfId="1" applyNumberFormat="1" applyFont="1" applyAlignment="1">
      <alignment vertical="center"/>
    </xf>
    <xf numFmtId="0" fontId="8" fillId="0" borderId="0" xfId="1" applyFont="1" applyAlignment="1">
      <alignment horizontal="center" vertical="center"/>
    </xf>
    <xf numFmtId="167" fontId="58" fillId="0" borderId="0" xfId="1" applyNumberFormat="1" applyFont="1" applyAlignment="1">
      <alignment vertical="center"/>
    </xf>
    <xf numFmtId="0" fontId="58" fillId="0" borderId="0" xfId="1" applyFont="1" applyAlignment="1">
      <alignment horizontal="center" vertical="center"/>
    </xf>
    <xf numFmtId="0" fontId="58" fillId="0" borderId="0" xfId="1" applyFont="1" applyAlignment="1">
      <alignment vertical="center"/>
    </xf>
    <xf numFmtId="167" fontId="67" fillId="0" borderId="0" xfId="1" applyNumberFormat="1" applyFont="1" applyAlignment="1">
      <alignment vertical="center"/>
    </xf>
    <xf numFmtId="0" fontId="67" fillId="0" borderId="0" xfId="1" applyFont="1" applyAlignment="1">
      <alignment horizontal="center" vertical="center"/>
    </xf>
    <xf numFmtId="0" fontId="67" fillId="0" borderId="0" xfId="1" applyFont="1" applyAlignment="1">
      <alignment vertical="center"/>
    </xf>
    <xf numFmtId="0" fontId="6" fillId="2" borderId="7" xfId="1" applyFont="1" applyFill="1" applyBorder="1" applyAlignment="1" applyProtection="1">
      <alignment horizontal="center" vertical="center" wrapText="1"/>
      <protection locked="0"/>
    </xf>
    <xf numFmtId="3" fontId="61" fillId="0" borderId="29" xfId="0" applyNumberFormat="1" applyFont="1" applyFill="1" applyBorder="1" applyAlignment="1">
      <alignment horizontal="right" vertical="center"/>
    </xf>
    <xf numFmtId="3" fontId="61" fillId="0" borderId="30" xfId="0" applyNumberFormat="1" applyFont="1" applyFill="1" applyBorder="1" applyAlignment="1">
      <alignment horizontal="right" vertical="center"/>
    </xf>
    <xf numFmtId="3" fontId="68" fillId="0" borderId="2" xfId="1" applyNumberFormat="1" applyFont="1" applyFill="1" applyBorder="1" applyAlignment="1">
      <alignment horizontal="right" vertical="center"/>
    </xf>
    <xf numFmtId="3" fontId="68" fillId="0" borderId="53" xfId="1" applyNumberFormat="1" applyFont="1" applyFill="1" applyBorder="1" applyAlignment="1">
      <alignment horizontal="right" vertical="center"/>
    </xf>
    <xf numFmtId="3" fontId="68" fillId="0" borderId="8" xfId="1" applyNumberFormat="1" applyFont="1" applyFill="1" applyBorder="1" applyAlignment="1">
      <alignment horizontal="right" vertical="center"/>
    </xf>
    <xf numFmtId="3" fontId="61" fillId="0" borderId="54" xfId="0" applyNumberFormat="1" applyFont="1" applyFill="1" applyBorder="1" applyAlignment="1">
      <alignment horizontal="right" vertical="center"/>
    </xf>
    <xf numFmtId="3" fontId="61" fillId="0" borderId="57" xfId="0" applyNumberFormat="1" applyFont="1" applyFill="1" applyBorder="1" applyAlignment="1">
      <alignment horizontal="right" vertical="center"/>
    </xf>
    <xf numFmtId="0" fontId="69" fillId="0" borderId="8" xfId="0" applyFont="1" applyFill="1" applyBorder="1" applyAlignment="1">
      <alignment horizontal="right" vertical="center" wrapText="1"/>
    </xf>
    <xf numFmtId="0" fontId="70" fillId="0" borderId="14" xfId="0" applyFont="1" applyBorder="1" applyAlignment="1">
      <alignment horizontal="center" vertical="center"/>
    </xf>
    <xf numFmtId="0" fontId="70" fillId="0" borderId="50" xfId="0" applyFont="1" applyFill="1" applyBorder="1" applyAlignment="1">
      <alignment horizontal="center" vertical="center"/>
    </xf>
    <xf numFmtId="0" fontId="70" fillId="0" borderId="18" xfId="0" applyFont="1" applyFill="1" applyBorder="1" applyAlignment="1">
      <alignment vertical="center"/>
    </xf>
    <xf numFmtId="3" fontId="70" fillId="0" borderId="2" xfId="1" applyNumberFormat="1" applyFont="1" applyFill="1" applyBorder="1" applyAlignment="1">
      <alignment horizontal="right" vertical="center"/>
    </xf>
    <xf numFmtId="3" fontId="70" fillId="0" borderId="51" xfId="1" applyNumberFormat="1" applyFont="1" applyFill="1" applyBorder="1" applyAlignment="1">
      <alignment horizontal="right" vertical="center"/>
    </xf>
    <xf numFmtId="3" fontId="70" fillId="0" borderId="8" xfId="1" applyNumberFormat="1" applyFont="1" applyFill="1" applyBorder="1" applyAlignment="1">
      <alignment horizontal="right" vertical="center"/>
    </xf>
    <xf numFmtId="3" fontId="71" fillId="0" borderId="0" xfId="0" applyNumberFormat="1" applyFont="1" applyAlignment="1">
      <alignment horizontal="right" vertical="center"/>
    </xf>
    <xf numFmtId="3" fontId="70" fillId="0" borderId="14" xfId="1" applyNumberFormat="1" applyFont="1" applyFill="1" applyBorder="1" applyAlignment="1">
      <alignment horizontal="right" vertical="center"/>
    </xf>
    <xf numFmtId="0" fontId="71" fillId="0" borderId="0" xfId="0" applyFont="1" applyAlignment="1">
      <alignment vertical="center"/>
    </xf>
    <xf numFmtId="0" fontId="72" fillId="0" borderId="8" xfId="0" applyFont="1" applyBorder="1" applyAlignment="1">
      <alignment horizontal="left" vertical="center"/>
    </xf>
    <xf numFmtId="0" fontId="72" fillId="2" borderId="26" xfId="0" applyFont="1" applyFill="1" applyBorder="1" applyAlignment="1">
      <alignment horizontal="left" vertical="center"/>
    </xf>
    <xf numFmtId="0" fontId="70" fillId="0" borderId="22" xfId="0" applyFont="1" applyFill="1" applyBorder="1" applyAlignment="1">
      <alignment horizontal="center" vertical="center"/>
    </xf>
    <xf numFmtId="0" fontId="70" fillId="0" borderId="18" xfId="0" applyFont="1" applyFill="1" applyBorder="1" applyAlignment="1">
      <alignment vertical="center" wrapText="1"/>
    </xf>
    <xf numFmtId="0" fontId="70" fillId="0" borderId="14"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18" xfId="0" applyFont="1" applyFill="1" applyBorder="1" applyAlignment="1">
      <alignment vertical="center" wrapText="1"/>
    </xf>
    <xf numFmtId="3" fontId="73" fillId="0" borderId="0" xfId="0" applyNumberFormat="1" applyFont="1" applyFill="1" applyAlignment="1">
      <alignment horizontal="right" vertical="center"/>
    </xf>
    <xf numFmtId="4" fontId="61" fillId="0" borderId="85" xfId="0" applyNumberFormat="1" applyFont="1" applyBorder="1" applyAlignment="1">
      <alignment horizontal="right" vertical="center"/>
    </xf>
    <xf numFmtId="49" fontId="61" fillId="0" borderId="85" xfId="0" applyNumberFormat="1" applyFont="1" applyBorder="1" applyAlignment="1">
      <alignment horizontal="right" vertical="center"/>
    </xf>
    <xf numFmtId="0" fontId="74" fillId="0" borderId="85" xfId="0" applyFont="1" applyBorder="1" applyAlignment="1">
      <alignment vertical="center"/>
    </xf>
    <xf numFmtId="4" fontId="61" fillId="0" borderId="83" xfId="0" applyNumberFormat="1" applyFont="1" applyBorder="1" applyAlignment="1">
      <alignment horizontal="right" vertical="center"/>
    </xf>
    <xf numFmtId="49" fontId="61" fillId="0" borderId="83" xfId="0" applyNumberFormat="1" applyFont="1" applyBorder="1" applyAlignment="1">
      <alignment horizontal="right" vertical="center"/>
    </xf>
    <xf numFmtId="0" fontId="74" fillId="0" borderId="83" xfId="0" applyFont="1" applyBorder="1" applyAlignment="1">
      <alignment vertical="center"/>
    </xf>
    <xf numFmtId="4" fontId="61" fillId="13" borderId="3" xfId="0" applyNumberFormat="1" applyFont="1" applyFill="1" applyBorder="1" applyAlignment="1">
      <alignment horizontal="right" vertical="center"/>
    </xf>
    <xf numFmtId="49" fontId="61" fillId="13" borderId="3" xfId="0" applyNumberFormat="1" applyFont="1" applyFill="1" applyBorder="1" applyAlignment="1">
      <alignment horizontal="right" vertical="center"/>
    </xf>
    <xf numFmtId="0" fontId="74" fillId="13" borderId="3" xfId="0" applyFont="1" applyFill="1" applyBorder="1" applyAlignment="1">
      <alignment vertical="center"/>
    </xf>
    <xf numFmtId="4" fontId="61" fillId="0" borderId="124" xfId="0" applyNumberFormat="1" applyFont="1" applyBorder="1" applyAlignment="1">
      <alignment horizontal="right" vertical="center"/>
    </xf>
    <xf numFmtId="49" fontId="61" fillId="0" borderId="124" xfId="0" applyNumberFormat="1" applyFont="1" applyBorder="1" applyAlignment="1">
      <alignment horizontal="right" vertical="center"/>
    </xf>
    <xf numFmtId="0" fontId="75" fillId="0" borderId="124" xfId="0" applyFont="1" applyBorder="1" applyAlignment="1">
      <alignment vertical="center"/>
    </xf>
    <xf numFmtId="4" fontId="61" fillId="0" borderId="27" xfId="0" applyNumberFormat="1" applyFont="1" applyBorder="1" applyAlignment="1">
      <alignment horizontal="right" vertical="center"/>
    </xf>
    <xf numFmtId="49" fontId="61" fillId="0" borderId="27" xfId="0" applyNumberFormat="1" applyFont="1" applyBorder="1" applyAlignment="1">
      <alignment horizontal="right" vertical="center"/>
    </xf>
    <xf numFmtId="0" fontId="75" fillId="0" borderId="27" xfId="0" applyFont="1" applyBorder="1" applyAlignment="1">
      <alignment vertical="center"/>
    </xf>
    <xf numFmtId="0" fontId="75" fillId="0" borderId="83" xfId="0" applyFont="1" applyBorder="1" applyAlignment="1">
      <alignment vertical="center"/>
    </xf>
    <xf numFmtId="4" fontId="76" fillId="13" borderId="3" xfId="0" applyNumberFormat="1" applyFont="1" applyFill="1" applyBorder="1" applyAlignment="1">
      <alignment horizontal="right" vertical="center"/>
    </xf>
    <xf numFmtId="49" fontId="76" fillId="13" borderId="3" xfId="0" applyNumberFormat="1" applyFont="1" applyFill="1" applyBorder="1" applyAlignment="1">
      <alignment horizontal="right" vertical="center"/>
    </xf>
    <xf numFmtId="4" fontId="61" fillId="0" borderId="28" xfId="0" applyNumberFormat="1" applyFont="1" applyBorder="1" applyAlignment="1">
      <alignment horizontal="right" vertical="center"/>
    </xf>
    <xf numFmtId="49" fontId="61" fillId="0" borderId="28" xfId="0" applyNumberFormat="1" applyFont="1" applyBorder="1" applyAlignment="1">
      <alignment horizontal="right" vertical="center"/>
    </xf>
    <xf numFmtId="0" fontId="75" fillId="0" borderId="28" xfId="0" applyFont="1" applyBorder="1" applyAlignment="1">
      <alignment vertical="center"/>
    </xf>
    <xf numFmtId="0" fontId="75" fillId="0" borderId="3" xfId="0" applyFont="1" applyBorder="1" applyAlignment="1">
      <alignment horizontal="center" vertical="center"/>
    </xf>
    <xf numFmtId="0" fontId="61" fillId="0" borderId="3" xfId="0" applyFont="1" applyBorder="1" applyAlignment="1">
      <alignment horizontal="center" vertical="center"/>
    </xf>
    <xf numFmtId="0" fontId="75" fillId="0" borderId="3" xfId="0" applyFont="1" applyBorder="1" applyAlignment="1">
      <alignment vertical="center"/>
    </xf>
    <xf numFmtId="0" fontId="77" fillId="0" borderId="0" xfId="1" applyFont="1" applyFill="1" applyAlignment="1" applyProtection="1">
      <alignment vertical="center"/>
      <protection locked="0"/>
    </xf>
    <xf numFmtId="0" fontId="68" fillId="0" borderId="0" xfId="3" applyFont="1" applyBorder="1" applyAlignment="1">
      <alignment vertical="center"/>
    </xf>
    <xf numFmtId="3" fontId="68" fillId="0" borderId="0" xfId="3" applyNumberFormat="1" applyFont="1" applyBorder="1" applyAlignment="1">
      <alignment vertical="center"/>
    </xf>
    <xf numFmtId="49" fontId="68" fillId="0" borderId="0" xfId="3" applyNumberFormat="1" applyFont="1" applyBorder="1" applyAlignment="1">
      <alignment vertical="center"/>
    </xf>
    <xf numFmtId="49" fontId="68" fillId="0" borderId="0" xfId="3" applyNumberFormat="1" applyFont="1" applyBorder="1" applyAlignment="1">
      <alignment vertical="center" wrapText="1"/>
    </xf>
    <xf numFmtId="0" fontId="78" fillId="0" borderId="0" xfId="3" applyFont="1" applyBorder="1" applyAlignment="1">
      <alignment vertical="center"/>
    </xf>
    <xf numFmtId="49" fontId="68" fillId="0" borderId="0" xfId="3" applyNumberFormat="1" applyFont="1" applyBorder="1" applyAlignment="1">
      <alignment horizontal="center" vertical="center" wrapText="1"/>
    </xf>
    <xf numFmtId="0" fontId="68" fillId="0" borderId="0" xfId="3" applyFont="1" applyBorder="1" applyAlignment="1">
      <alignment vertical="center" wrapText="1"/>
    </xf>
    <xf numFmtId="4" fontId="79" fillId="0" borderId="1" xfId="3" applyNumberFormat="1" applyFont="1" applyBorder="1" applyAlignment="1">
      <alignment horizontal="right" vertical="center" wrapText="1"/>
    </xf>
    <xf numFmtId="4" fontId="79" fillId="0" borderId="9" xfId="3" applyNumberFormat="1" applyFont="1" applyBorder="1" applyAlignment="1">
      <alignment horizontal="right" vertical="center" wrapText="1"/>
    </xf>
    <xf numFmtId="49" fontId="68" fillId="0" borderId="9" xfId="3" applyNumberFormat="1" applyFont="1" applyBorder="1" applyAlignment="1">
      <alignment horizontal="center" vertical="center" wrapText="1"/>
    </xf>
    <xf numFmtId="49" fontId="68" fillId="0" borderId="7" xfId="3" applyNumberFormat="1" applyFont="1" applyBorder="1" applyAlignment="1">
      <alignment horizontal="center" vertical="center" wrapText="1"/>
    </xf>
    <xf numFmtId="0" fontId="68" fillId="0" borderId="84" xfId="3" applyFont="1" applyBorder="1" applyAlignment="1">
      <alignment vertical="center" wrapText="1"/>
    </xf>
    <xf numFmtId="4" fontId="68" fillId="0" borderId="8" xfId="3" applyNumberFormat="1" applyFont="1" applyBorder="1" applyAlignment="1">
      <alignment horizontal="right" vertical="center" wrapText="1"/>
    </xf>
    <xf numFmtId="4" fontId="68" fillId="0" borderId="2" xfId="3" applyNumberFormat="1" applyFont="1" applyBorder="1" applyAlignment="1">
      <alignment horizontal="right" vertical="center" wrapText="1"/>
    </xf>
    <xf numFmtId="49" fontId="68" fillId="0" borderId="2" xfId="3" applyNumberFormat="1" applyFont="1" applyBorder="1" applyAlignment="1">
      <alignment horizontal="center" vertical="center" wrapText="1"/>
    </xf>
    <xf numFmtId="49" fontId="68" fillId="0" borderId="16" xfId="3" applyNumberFormat="1" applyFont="1" applyBorder="1" applyAlignment="1">
      <alignment horizontal="center" vertical="center" wrapText="1"/>
    </xf>
    <xf numFmtId="0" fontId="68" fillId="0" borderId="27" xfId="3" applyFont="1" applyBorder="1" applyAlignment="1">
      <alignment vertical="center" wrapText="1"/>
    </xf>
    <xf numFmtId="4" fontId="79" fillId="0" borderId="8" xfId="3" applyNumberFormat="1" applyFont="1" applyBorder="1" applyAlignment="1">
      <alignment horizontal="right" vertical="center" wrapText="1"/>
    </xf>
    <xf numFmtId="4" fontId="79" fillId="0" borderId="2" xfId="3" applyNumberFormat="1" applyFont="1" applyBorder="1" applyAlignment="1">
      <alignment horizontal="right" vertical="center" wrapText="1"/>
    </xf>
    <xf numFmtId="0" fontId="68" fillId="0" borderId="27" xfId="3" applyFont="1" applyBorder="1" applyAlignment="1">
      <alignment horizontal="left" vertical="center" wrapText="1"/>
    </xf>
    <xf numFmtId="0" fontId="68" fillId="0" borderId="27" xfId="3" applyFont="1" applyFill="1" applyBorder="1" applyAlignment="1">
      <alignment vertical="center" wrapText="1"/>
    </xf>
    <xf numFmtId="49" fontId="80" fillId="0" borderId="16" xfId="3" applyNumberFormat="1" applyFont="1" applyBorder="1" applyAlignment="1">
      <alignment horizontal="center" vertical="center"/>
    </xf>
    <xf numFmtId="0" fontId="62" fillId="0" borderId="0" xfId="3" applyFont="1" applyBorder="1" applyAlignment="1">
      <alignment vertical="center"/>
    </xf>
    <xf numFmtId="4" fontId="79" fillId="0" borderId="26" xfId="3" applyNumberFormat="1" applyFont="1" applyBorder="1" applyAlignment="1">
      <alignment horizontal="right" vertical="center" wrapText="1"/>
    </xf>
    <xf numFmtId="4" fontId="79" fillId="0" borderId="77" xfId="3" applyNumberFormat="1" applyFont="1" applyBorder="1" applyAlignment="1">
      <alignment horizontal="right" vertical="center" wrapText="1"/>
    </xf>
    <xf numFmtId="49" fontId="68" fillId="0" borderId="77" xfId="3" applyNumberFormat="1" applyFont="1" applyBorder="1" applyAlignment="1">
      <alignment horizontal="center" vertical="center" wrapText="1"/>
    </xf>
    <xf numFmtId="49" fontId="68" fillId="0" borderId="76" xfId="3" applyNumberFormat="1" applyFont="1" applyBorder="1" applyAlignment="1">
      <alignment horizontal="center" vertical="center" wrapText="1"/>
    </xf>
    <xf numFmtId="0" fontId="68" fillId="0" borderId="83" xfId="3" applyFont="1" applyBorder="1" applyAlignment="1">
      <alignment vertical="center" wrapText="1"/>
    </xf>
    <xf numFmtId="4" fontId="81" fillId="0" borderId="6" xfId="3" applyNumberFormat="1" applyFont="1" applyBorder="1" applyAlignment="1">
      <alignment horizontal="right" vertical="center" wrapText="1"/>
    </xf>
    <xf numFmtId="4" fontId="81" fillId="0" borderId="5" xfId="3" applyNumberFormat="1" applyFont="1" applyBorder="1" applyAlignment="1">
      <alignment horizontal="right" vertical="center" wrapText="1"/>
    </xf>
    <xf numFmtId="0" fontId="81" fillId="0" borderId="3" xfId="3" applyFont="1" applyBorder="1" applyAlignment="1">
      <alignment vertical="center" wrapText="1"/>
    </xf>
    <xf numFmtId="4" fontId="79" fillId="0" borderId="10" xfId="3" applyNumberFormat="1" applyFont="1" applyBorder="1" applyAlignment="1">
      <alignment horizontal="right" vertical="center" wrapText="1"/>
    </xf>
    <xf numFmtId="49" fontId="68" fillId="0" borderId="10" xfId="3" applyNumberFormat="1" applyFont="1" applyBorder="1" applyAlignment="1">
      <alignment horizontal="center" vertical="center" wrapText="1"/>
    </xf>
    <xf numFmtId="4" fontId="79" fillId="0" borderId="87" xfId="3" applyNumberFormat="1" applyFont="1" applyBorder="1" applyAlignment="1">
      <alignment horizontal="right" vertical="center" wrapText="1"/>
    </xf>
    <xf numFmtId="4" fontId="79" fillId="0" borderId="25" xfId="3" applyNumberFormat="1" applyFont="1" applyBorder="1" applyAlignment="1">
      <alignment horizontal="right" vertical="center" wrapText="1"/>
    </xf>
    <xf numFmtId="49" fontId="68" fillId="0" borderId="25" xfId="3" applyNumberFormat="1" applyFont="1" applyBorder="1" applyAlignment="1">
      <alignment horizontal="center" vertical="center" wrapText="1"/>
    </xf>
    <xf numFmtId="49" fontId="68" fillId="0" borderId="24" xfId="3" applyNumberFormat="1" applyFont="1" applyBorder="1" applyAlignment="1">
      <alignment horizontal="center" vertical="center" wrapText="1"/>
    </xf>
    <xf numFmtId="0" fontId="68" fillId="0" borderId="90" xfId="3" applyFont="1" applyBorder="1" applyAlignment="1">
      <alignment horizontal="left" vertical="center" wrapText="1"/>
    </xf>
    <xf numFmtId="4" fontId="68" fillId="0" borderId="1" xfId="3" applyNumberFormat="1" applyFont="1" applyBorder="1" applyAlignment="1">
      <alignment horizontal="right" vertical="center" wrapText="1"/>
    </xf>
    <xf numFmtId="4" fontId="68" fillId="0" borderId="9" xfId="3" applyNumberFormat="1" applyFont="1" applyBorder="1" applyAlignment="1">
      <alignment horizontal="right" vertical="center" wrapText="1"/>
    </xf>
    <xf numFmtId="3" fontId="81" fillId="0" borderId="87" xfId="3" applyNumberFormat="1" applyFont="1" applyBorder="1" applyAlignment="1">
      <alignment horizontal="center" vertical="center" wrapText="1"/>
    </xf>
    <xf numFmtId="3" fontId="81" fillId="0" borderId="25" xfId="3" applyNumberFormat="1" applyFont="1" applyBorder="1" applyAlignment="1">
      <alignment horizontal="center" vertical="center" wrapText="1"/>
    </xf>
    <xf numFmtId="0" fontId="81" fillId="0" borderId="83" xfId="3" applyFont="1" applyBorder="1" applyAlignment="1">
      <alignment vertical="center" wrapText="1"/>
    </xf>
    <xf numFmtId="3" fontId="81" fillId="0" borderId="6" xfId="3" applyNumberFormat="1" applyFont="1" applyBorder="1" applyAlignment="1">
      <alignment horizontal="center" vertical="center" wrapText="1"/>
    </xf>
    <xf numFmtId="3" fontId="81" fillId="0" borderId="5" xfId="3" applyNumberFormat="1" applyFont="1" applyBorder="1" applyAlignment="1">
      <alignment horizontal="center" vertical="center" wrapText="1"/>
    </xf>
    <xf numFmtId="49" fontId="82" fillId="0" borderId="5" xfId="3" applyNumberFormat="1" applyFont="1" applyBorder="1" applyAlignment="1">
      <alignment horizontal="center" vertical="center" wrapText="1"/>
    </xf>
    <xf numFmtId="49" fontId="82" fillId="0" borderId="4" xfId="3" applyNumberFormat="1" applyFont="1" applyBorder="1" applyAlignment="1">
      <alignment horizontal="center" vertical="center" wrapText="1"/>
    </xf>
    <xf numFmtId="0" fontId="81" fillId="0" borderId="82" xfId="3" applyFont="1" applyBorder="1" applyAlignment="1">
      <alignment vertical="center"/>
    </xf>
    <xf numFmtId="0" fontId="68" fillId="0" borderId="0" xfId="3" applyFont="1" applyBorder="1" applyAlignment="1">
      <alignment horizontal="center" vertical="center"/>
    </xf>
    <xf numFmtId="0" fontId="81" fillId="0" borderId="0" xfId="3" applyFont="1" applyBorder="1" applyAlignment="1">
      <alignment vertical="center" wrapText="1"/>
    </xf>
    <xf numFmtId="0" fontId="81" fillId="0" borderId="84" xfId="3" applyFont="1" applyBorder="1" applyAlignment="1">
      <alignment vertical="center" wrapText="1"/>
    </xf>
    <xf numFmtId="49" fontId="68" fillId="0" borderId="15" xfId="3" applyNumberFormat="1" applyFont="1" applyBorder="1" applyAlignment="1">
      <alignment horizontal="center" vertical="center" wrapText="1"/>
    </xf>
    <xf numFmtId="0" fontId="81" fillId="0" borderId="78" xfId="3" applyFont="1" applyBorder="1" applyAlignment="1">
      <alignment vertical="center" wrapText="1"/>
    </xf>
    <xf numFmtId="49" fontId="68" fillId="0" borderId="2" xfId="3" applyNumberFormat="1" applyFont="1" applyBorder="1" applyAlignment="1">
      <alignment horizontal="center" vertical="center"/>
    </xf>
    <xf numFmtId="0" fontId="68" fillId="0" borderId="14" xfId="3" applyFont="1" applyBorder="1" applyAlignment="1">
      <alignment horizontal="center" vertical="center"/>
    </xf>
    <xf numFmtId="0" fontId="81" fillId="0" borderId="27" xfId="3" applyFont="1" applyBorder="1" applyAlignment="1">
      <alignment vertical="center" wrapText="1"/>
    </xf>
    <xf numFmtId="0" fontId="68" fillId="0" borderId="14" xfId="3" applyFont="1" applyBorder="1" applyAlignment="1">
      <alignment horizontal="center" vertical="center" wrapText="1"/>
    </xf>
    <xf numFmtId="49" fontId="68" fillId="0" borderId="77" xfId="3" applyNumberFormat="1" applyFont="1" applyBorder="1" applyAlignment="1">
      <alignment horizontal="center" vertical="center"/>
    </xf>
    <xf numFmtId="0" fontId="68" fillId="0" borderId="15" xfId="3" applyFont="1" applyBorder="1" applyAlignment="1">
      <alignment horizontal="center" vertical="center"/>
    </xf>
    <xf numFmtId="49" fontId="68" fillId="0" borderId="9" xfId="3" applyNumberFormat="1" applyFont="1" applyBorder="1" applyAlignment="1">
      <alignment horizontal="center" vertical="center"/>
    </xf>
    <xf numFmtId="0" fontId="68" fillId="0" borderId="7" xfId="3" applyFont="1" applyBorder="1" applyAlignment="1">
      <alignment horizontal="center" vertical="center" wrapText="1"/>
    </xf>
    <xf numFmtId="0" fontId="68" fillId="0" borderId="16" xfId="3" applyFont="1" applyBorder="1" applyAlignment="1">
      <alignment horizontal="center" vertical="center"/>
    </xf>
    <xf numFmtId="0" fontId="68" fillId="0" borderId="76" xfId="3" applyFont="1" applyBorder="1" applyAlignment="1">
      <alignment horizontal="center" vertical="center"/>
    </xf>
    <xf numFmtId="0" fontId="81" fillId="0" borderId="0" xfId="3" applyFont="1" applyBorder="1" applyAlignment="1">
      <alignment vertical="center"/>
    </xf>
    <xf numFmtId="3" fontId="81" fillId="0" borderId="87" xfId="3" applyNumberFormat="1" applyFont="1" applyFill="1" applyBorder="1" applyAlignment="1">
      <alignment horizontal="center" vertical="center" wrapText="1"/>
    </xf>
    <xf numFmtId="3" fontId="81" fillId="0" borderId="25" xfId="3" applyNumberFormat="1" applyFont="1" applyFill="1" applyBorder="1" applyAlignment="1">
      <alignment horizontal="center" vertical="center" wrapText="1"/>
    </xf>
    <xf numFmtId="0" fontId="81" fillId="0" borderId="90" xfId="3" applyFont="1" applyBorder="1" applyAlignment="1">
      <alignment vertical="center" wrapText="1"/>
    </xf>
    <xf numFmtId="3" fontId="81" fillId="0" borderId="6" xfId="3" applyNumberFormat="1" applyFont="1" applyFill="1" applyBorder="1" applyAlignment="1">
      <alignment horizontal="center" vertical="center" wrapText="1"/>
    </xf>
    <xf numFmtId="3" fontId="81" fillId="0" borderId="5" xfId="3" applyNumberFormat="1" applyFont="1" applyFill="1" applyBorder="1" applyAlignment="1">
      <alignment horizontal="center" vertical="center" wrapText="1"/>
    </xf>
    <xf numFmtId="49" fontId="81" fillId="0" borderId="5" xfId="3" applyNumberFormat="1" applyFont="1" applyFill="1" applyBorder="1" applyAlignment="1">
      <alignment horizontal="center" vertical="center" wrapText="1"/>
    </xf>
    <xf numFmtId="49" fontId="81" fillId="0" borderId="4" xfId="3" applyNumberFormat="1" applyFont="1" applyFill="1" applyBorder="1" applyAlignment="1">
      <alignment horizontal="center" vertical="center" wrapText="1"/>
    </xf>
    <xf numFmtId="0" fontId="81" fillId="0" borderId="82" xfId="3" applyFont="1" applyFill="1" applyBorder="1" applyAlignment="1">
      <alignment horizontal="left" vertical="center"/>
    </xf>
    <xf numFmtId="0" fontId="83" fillId="0" borderId="0" xfId="0" applyFont="1" applyAlignment="1">
      <alignment vertical="center"/>
    </xf>
    <xf numFmtId="167" fontId="6" fillId="0" borderId="0" xfId="1" applyNumberFormat="1" applyFont="1" applyFill="1" applyAlignment="1">
      <alignment vertical="center"/>
    </xf>
    <xf numFmtId="0" fontId="6" fillId="0" borderId="0" xfId="1" applyFont="1" applyFill="1" applyAlignment="1">
      <alignment horizontal="center" vertical="center"/>
    </xf>
    <xf numFmtId="1" fontId="15" fillId="0" borderId="0" xfId="1" applyNumberFormat="1" applyFont="1" applyAlignment="1" applyProtection="1">
      <alignment horizontal="center" vertical="center"/>
      <protection locked="0"/>
    </xf>
    <xf numFmtId="3" fontId="6" fillId="14" borderId="25" xfId="1" applyNumberFormat="1" applyFont="1" applyFill="1" applyBorder="1" applyAlignment="1">
      <alignment horizontal="right" vertical="center"/>
    </xf>
    <xf numFmtId="3" fontId="6" fillId="0" borderId="98" xfId="1" applyNumberFormat="1" applyFont="1" applyFill="1" applyBorder="1" applyAlignment="1" applyProtection="1">
      <alignment horizontal="right" vertical="center"/>
      <protection locked="0"/>
    </xf>
    <xf numFmtId="3" fontId="6" fillId="0" borderId="77" xfId="1" applyNumberFormat="1" applyFont="1" applyFill="1" applyBorder="1" applyAlignment="1" applyProtection="1">
      <alignment horizontal="right" vertical="center"/>
      <protection locked="0"/>
    </xf>
    <xf numFmtId="3" fontId="53" fillId="0" borderId="97" xfId="1" applyNumberFormat="1" applyFont="1" applyFill="1" applyBorder="1" applyAlignment="1" applyProtection="1">
      <alignment horizontal="right" vertical="center"/>
      <protection locked="0"/>
    </xf>
    <xf numFmtId="0" fontId="63" fillId="0" borderId="0" xfId="0" applyFont="1" applyAlignment="1">
      <alignment horizontal="right" vertical="center"/>
    </xf>
    <xf numFmtId="3" fontId="63" fillId="0" borderId="0" xfId="0" applyNumberFormat="1" applyFont="1" applyAlignment="1">
      <alignment horizontal="right" vertical="center"/>
    </xf>
    <xf numFmtId="0" fontId="16" fillId="0" borderId="0" xfId="1" applyFont="1" applyAlignment="1" applyProtection="1">
      <alignment horizontal="right" vertical="center"/>
      <protection locked="0"/>
    </xf>
    <xf numFmtId="0" fontId="16" fillId="0" borderId="0" xfId="1" applyFont="1" applyAlignment="1" applyProtection="1">
      <alignment horizontal="left" vertical="center"/>
      <protection locked="0"/>
    </xf>
    <xf numFmtId="0" fontId="84" fillId="0" borderId="0" xfId="0" applyFont="1" applyAlignment="1">
      <alignment vertical="center"/>
    </xf>
    <xf numFmtId="3" fontId="85" fillId="0" borderId="0" xfId="0" applyNumberFormat="1" applyFont="1" applyAlignment="1">
      <alignment horizontal="right" vertical="center"/>
    </xf>
    <xf numFmtId="0" fontId="85" fillId="0" borderId="0" xfId="0" applyFont="1" applyAlignment="1">
      <alignment horizontal="right" vertical="center"/>
    </xf>
    <xf numFmtId="0" fontId="85" fillId="0" borderId="0" xfId="0" applyFont="1" applyAlignment="1">
      <alignment horizontal="left" vertical="center"/>
    </xf>
    <xf numFmtId="4" fontId="60" fillId="0" borderId="0" xfId="1" applyNumberFormat="1" applyFont="1" applyAlignment="1">
      <alignment vertical="center"/>
    </xf>
    <xf numFmtId="167" fontId="70" fillId="0" borderId="18" xfId="1" applyNumberFormat="1" applyFont="1" applyBorder="1" applyAlignment="1" applyProtection="1">
      <alignment horizontal="right"/>
      <protection locked="0"/>
    </xf>
    <xf numFmtId="0" fontId="70" fillId="0" borderId="0" xfId="1" applyFont="1"/>
    <xf numFmtId="0" fontId="80" fillId="0" borderId="113" xfId="1" applyFont="1" applyFill="1" applyBorder="1" applyAlignment="1">
      <alignment horizontal="center" vertical="center" wrapText="1"/>
    </xf>
    <xf numFmtId="0" fontId="6" fillId="3" borderId="136" xfId="1" applyFont="1" applyFill="1" applyBorder="1" applyAlignment="1">
      <alignment horizontal="center" vertical="center"/>
    </xf>
    <xf numFmtId="0" fontId="6" fillId="3" borderId="137" xfId="1" applyFont="1" applyFill="1" applyBorder="1" applyAlignment="1">
      <alignment horizontal="center" vertical="center" wrapText="1"/>
    </xf>
    <xf numFmtId="0" fontId="6" fillId="0" borderId="138" xfId="1" applyFont="1" applyFill="1" applyBorder="1" applyAlignment="1">
      <alignment horizontal="center" vertical="center" wrapText="1"/>
    </xf>
    <xf numFmtId="3" fontId="6" fillId="2" borderId="116" xfId="1" applyNumberFormat="1" applyFont="1" applyFill="1" applyBorder="1" applyAlignment="1">
      <alignment vertical="center"/>
    </xf>
    <xf numFmtId="3" fontId="6" fillId="2" borderId="120" xfId="1" applyNumberFormat="1" applyFont="1" applyFill="1" applyBorder="1" applyAlignment="1">
      <alignment vertical="center"/>
    </xf>
    <xf numFmtId="3" fontId="6" fillId="2" borderId="123" xfId="1" applyNumberFormat="1" applyFont="1" applyFill="1" applyBorder="1" applyAlignment="1">
      <alignment vertical="center"/>
    </xf>
    <xf numFmtId="3" fontId="8" fillId="2" borderId="8" xfId="1" applyNumberFormat="1" applyFont="1" applyFill="1" applyBorder="1" applyAlignment="1">
      <alignment vertical="center"/>
    </xf>
    <xf numFmtId="3" fontId="6" fillId="6" borderId="139" xfId="1" applyNumberFormat="1" applyFont="1" applyFill="1" applyBorder="1" applyAlignment="1">
      <alignment vertical="center"/>
    </xf>
    <xf numFmtId="3" fontId="6" fillId="6" borderId="140" xfId="1" applyNumberFormat="1" applyFont="1" applyFill="1" applyBorder="1" applyAlignment="1">
      <alignment vertical="center"/>
    </xf>
    <xf numFmtId="164" fontId="6" fillId="3" borderId="96" xfId="1" applyNumberFormat="1" applyFont="1" applyFill="1" applyBorder="1" applyAlignment="1">
      <alignment horizontal="center" vertical="center"/>
    </xf>
    <xf numFmtId="3" fontId="6" fillId="6" borderId="109" xfId="1" applyNumberFormat="1" applyFont="1" applyFill="1" applyBorder="1" applyAlignment="1">
      <alignment vertical="center"/>
    </xf>
    <xf numFmtId="0" fontId="68" fillId="0" borderId="0" xfId="1" applyFont="1" applyAlignment="1">
      <alignment vertical="center"/>
    </xf>
    <xf numFmtId="0" fontId="78" fillId="0" borderId="0" xfId="1" applyFont="1" applyAlignment="1">
      <alignment vertical="center"/>
    </xf>
    <xf numFmtId="0" fontId="81" fillId="0" borderId="0" xfId="1" applyFont="1" applyAlignment="1">
      <alignment vertical="center"/>
    </xf>
    <xf numFmtId="0" fontId="6" fillId="15" borderId="0" xfId="1" applyFont="1" applyFill="1" applyAlignment="1" applyProtection="1">
      <alignment vertical="center"/>
      <protection locked="0"/>
    </xf>
    <xf numFmtId="0" fontId="6" fillId="0" borderId="13" xfId="1" applyFont="1" applyBorder="1" applyAlignment="1">
      <alignment horizontal="center"/>
    </xf>
    <xf numFmtId="0" fontId="6" fillId="0" borderId="50" xfId="1" applyFont="1" applyBorder="1" applyAlignment="1">
      <alignment horizontal="center"/>
    </xf>
    <xf numFmtId="167" fontId="60" fillId="0" borderId="0" xfId="1" applyNumberFormat="1" applyFont="1" applyAlignment="1"/>
    <xf numFmtId="167" fontId="60" fillId="0" borderId="0" xfId="1" applyNumberFormat="1" applyFont="1"/>
    <xf numFmtId="167" fontId="60" fillId="0" borderId="0" xfId="1" applyNumberFormat="1" applyFont="1" applyAlignment="1">
      <alignment vertical="center"/>
    </xf>
    <xf numFmtId="49" fontId="62" fillId="0" borderId="3" xfId="3" applyNumberFormat="1" applyFont="1" applyBorder="1" applyAlignment="1">
      <alignment horizontal="left" vertical="center"/>
    </xf>
    <xf numFmtId="4" fontId="79" fillId="0" borderId="77" xfId="3" applyNumberFormat="1" applyFont="1" applyBorder="1" applyAlignment="1">
      <alignment horizontal="right" vertical="center"/>
    </xf>
    <xf numFmtId="4" fontId="79" fillId="0" borderId="26" xfId="3" applyNumberFormat="1" applyFont="1" applyBorder="1" applyAlignment="1">
      <alignment horizontal="right" vertical="center"/>
    </xf>
    <xf numFmtId="4" fontId="79" fillId="0" borderId="27" xfId="3" applyNumberFormat="1" applyFont="1" applyBorder="1" applyAlignment="1">
      <alignment horizontal="right" vertical="center"/>
    </xf>
    <xf numFmtId="4" fontId="68" fillId="0" borderId="2" xfId="3" applyNumberFormat="1" applyFont="1" applyBorder="1" applyAlignment="1">
      <alignment horizontal="right" vertical="center"/>
    </xf>
    <xf numFmtId="4" fontId="68" fillId="0" borderId="8" xfId="3" applyNumberFormat="1" applyFont="1" applyBorder="1" applyAlignment="1">
      <alignment horizontal="right" vertical="center"/>
    </xf>
    <xf numFmtId="4" fontId="68" fillId="0" borderId="27" xfId="3" applyNumberFormat="1" applyFont="1" applyBorder="1" applyAlignment="1">
      <alignment horizontal="right" vertical="center"/>
    </xf>
    <xf numFmtId="4" fontId="79" fillId="0" borderId="2" xfId="3" applyNumberFormat="1" applyFont="1" applyBorder="1" applyAlignment="1">
      <alignment horizontal="right" vertical="center"/>
    </xf>
    <xf numFmtId="4" fontId="79" fillId="0" borderId="8" xfId="3" applyNumberFormat="1" applyFont="1" applyBorder="1" applyAlignment="1">
      <alignment horizontal="right" vertical="center"/>
    </xf>
    <xf numFmtId="4" fontId="79" fillId="0" borderId="9" xfId="3" applyNumberFormat="1" applyFont="1" applyBorder="1" applyAlignment="1">
      <alignment horizontal="right" vertical="center"/>
    </xf>
    <xf numFmtId="4" fontId="79" fillId="0" borderId="1" xfId="3" applyNumberFormat="1" applyFont="1" applyBorder="1" applyAlignment="1">
      <alignment horizontal="right" vertical="center"/>
    </xf>
    <xf numFmtId="4" fontId="68" fillId="0" borderId="28" xfId="3" applyNumberFormat="1" applyFont="1" applyBorder="1" applyAlignment="1">
      <alignment horizontal="right" vertical="center"/>
    </xf>
    <xf numFmtId="4" fontId="68" fillId="0" borderId="83" xfId="3" applyNumberFormat="1" applyFont="1" applyBorder="1" applyAlignment="1">
      <alignment horizontal="right" vertical="center"/>
    </xf>
    <xf numFmtId="4" fontId="68" fillId="0" borderId="84" xfId="3" applyNumberFormat="1" applyFont="1" applyBorder="1" applyAlignment="1">
      <alignment horizontal="right" vertical="center"/>
    </xf>
    <xf numFmtId="4" fontId="62" fillId="0" borderId="0" xfId="3" applyNumberFormat="1" applyFont="1" applyBorder="1" applyAlignment="1">
      <alignment horizontal="right" vertical="center"/>
    </xf>
    <xf numFmtId="4" fontId="68" fillId="0" borderId="0" xfId="3" applyNumberFormat="1" applyFont="1" applyBorder="1" applyAlignment="1">
      <alignment horizontal="right" vertical="center"/>
    </xf>
    <xf numFmtId="49" fontId="81" fillId="0" borderId="83" xfId="3" applyNumberFormat="1" applyFont="1" applyBorder="1" applyAlignment="1">
      <alignment horizontal="center" vertical="center" wrapText="1"/>
    </xf>
    <xf numFmtId="49" fontId="81" fillId="0" borderId="3" xfId="3" applyNumberFormat="1" applyFont="1" applyBorder="1" applyAlignment="1">
      <alignment horizontal="center" vertical="center"/>
    </xf>
    <xf numFmtId="4" fontId="62" fillId="0" borderId="0" xfId="3" applyNumberFormat="1" applyFont="1" applyBorder="1" applyAlignment="1">
      <alignment vertical="center"/>
    </xf>
    <xf numFmtId="4" fontId="68" fillId="0" borderId="0" xfId="3" applyNumberFormat="1" applyFont="1" applyBorder="1" applyAlignment="1">
      <alignment vertical="center"/>
    </xf>
    <xf numFmtId="167" fontId="6" fillId="0" borderId="2" xfId="1" applyNumberFormat="1" applyFont="1" applyFill="1" applyBorder="1"/>
    <xf numFmtId="167" fontId="6" fillId="0" borderId="2" xfId="1" applyNumberFormat="1" applyFont="1" applyBorder="1"/>
    <xf numFmtId="0" fontId="6" fillId="0" borderId="2" xfId="1" applyFont="1" applyBorder="1" applyAlignment="1">
      <alignment horizontal="left"/>
    </xf>
    <xf numFmtId="167" fontId="86" fillId="0" borderId="2" xfId="1" applyNumberFormat="1" applyFont="1" applyBorder="1" applyAlignment="1">
      <alignment horizontal="right" vertical="center"/>
    </xf>
    <xf numFmtId="0" fontId="60" fillId="0" borderId="0" xfId="1" applyFont="1" applyAlignment="1">
      <alignment horizontal="right" vertical="center"/>
    </xf>
    <xf numFmtId="0" fontId="6" fillId="0" borderId="95" xfId="1" applyFont="1" applyBorder="1" applyAlignment="1" applyProtection="1">
      <alignment horizontal="center" vertical="center"/>
      <protection locked="0"/>
    </xf>
    <xf numFmtId="0" fontId="13" fillId="2" borderId="8" xfId="0" applyFont="1" applyFill="1" applyBorder="1" applyAlignment="1">
      <alignment horizontal="left" vertical="center"/>
    </xf>
    <xf numFmtId="0" fontId="6" fillId="12" borderId="0" xfId="1" applyFont="1" applyFill="1"/>
    <xf numFmtId="3" fontId="16" fillId="0" borderId="0" xfId="6" applyNumberFormat="1" applyFont="1" applyAlignment="1" applyProtection="1">
      <alignment horizontal="right" vertical="center"/>
      <protection locked="0"/>
    </xf>
    <xf numFmtId="3" fontId="16" fillId="0" borderId="0" xfId="6" applyNumberFormat="1" applyFont="1" applyAlignment="1" applyProtection="1">
      <alignment horizontal="center" vertical="center"/>
      <protection locked="0"/>
    </xf>
    <xf numFmtId="1" fontId="16" fillId="0" borderId="0" xfId="6" applyNumberFormat="1" applyFont="1" applyAlignment="1" applyProtection="1">
      <alignment horizontal="center" vertical="center"/>
      <protection locked="0"/>
    </xf>
    <xf numFmtId="1" fontId="45" fillId="0" borderId="0" xfId="6" applyNumberFormat="1" applyFont="1" applyAlignment="1" applyProtection="1">
      <alignment horizontal="center" vertical="center"/>
      <protection locked="0"/>
    </xf>
    <xf numFmtId="3" fontId="16" fillId="0" borderId="0" xfId="6" applyNumberFormat="1" applyFont="1" applyAlignment="1" applyProtection="1">
      <alignment vertical="center"/>
      <protection locked="0"/>
    </xf>
    <xf numFmtId="3" fontId="46" fillId="0" borderId="0" xfId="6" applyNumberFormat="1" applyFont="1" applyAlignment="1" applyProtection="1">
      <alignment horizontal="right" vertical="center"/>
      <protection locked="0"/>
    </xf>
    <xf numFmtId="4" fontId="46" fillId="0" borderId="0" xfId="6" applyNumberFormat="1" applyFont="1" applyAlignment="1" applyProtection="1">
      <alignment vertical="center"/>
      <protection locked="0"/>
    </xf>
    <xf numFmtId="3" fontId="46" fillId="0" borderId="0" xfId="6" applyNumberFormat="1" applyFont="1" applyAlignment="1" applyProtection="1">
      <alignment vertical="center"/>
      <protection locked="0"/>
    </xf>
    <xf numFmtId="3" fontId="48" fillId="0" borderId="0" xfId="6" applyNumberFormat="1" applyFont="1" applyAlignment="1" applyProtection="1">
      <alignment horizontal="center" vertical="center"/>
      <protection locked="0"/>
    </xf>
    <xf numFmtId="3" fontId="16" fillId="0" borderId="0" xfId="6" applyNumberFormat="1" applyFont="1" applyBorder="1" applyAlignment="1" applyProtection="1">
      <alignment horizontal="center" vertical="center"/>
      <protection locked="0"/>
    </xf>
    <xf numFmtId="3" fontId="45" fillId="0" borderId="0" xfId="6" applyNumberFormat="1" applyFont="1" applyAlignment="1" applyProtection="1">
      <alignment horizontal="center" vertical="center"/>
      <protection locked="0"/>
    </xf>
    <xf numFmtId="0" fontId="87" fillId="0" borderId="2" xfId="6" applyBorder="1" applyAlignment="1">
      <alignment horizontal="center" vertical="center"/>
    </xf>
    <xf numFmtId="3" fontId="6" fillId="12" borderId="135" xfId="1" applyNumberFormat="1" applyFont="1" applyFill="1" applyBorder="1" applyAlignment="1">
      <alignment vertical="center"/>
    </xf>
    <xf numFmtId="3" fontId="6" fillId="12" borderId="16" xfId="1" applyNumberFormat="1" applyFont="1" applyFill="1" applyBorder="1" applyAlignment="1" applyProtection="1">
      <alignment horizontal="right" vertical="center"/>
      <protection locked="0"/>
    </xf>
    <xf numFmtId="3" fontId="50" fillId="0" borderId="16" xfId="1" applyNumberFormat="1" applyFont="1" applyFill="1" applyBorder="1" applyAlignment="1" applyProtection="1">
      <alignment horizontal="right" vertical="center"/>
      <protection locked="0"/>
    </xf>
    <xf numFmtId="3" fontId="6" fillId="12" borderId="76" xfId="1" applyNumberFormat="1" applyFont="1" applyFill="1" applyBorder="1" applyAlignment="1" applyProtection="1">
      <alignment horizontal="right" vertical="center"/>
      <protection locked="0"/>
    </xf>
    <xf numFmtId="3" fontId="51" fillId="12" borderId="97" xfId="1" applyNumberFormat="1" applyFont="1" applyFill="1" applyBorder="1" applyAlignment="1" applyProtection="1">
      <alignment horizontal="right" vertical="center"/>
      <protection locked="0"/>
    </xf>
    <xf numFmtId="0" fontId="12" fillId="0" borderId="163" xfId="0" applyFont="1" applyFill="1" applyBorder="1" applyAlignment="1">
      <alignment horizontal="center" vertical="center" wrapText="1" shrinkToFit="1"/>
    </xf>
    <xf numFmtId="3" fontId="8" fillId="2" borderId="164" xfId="1" applyNumberFormat="1" applyFont="1" applyFill="1" applyBorder="1" applyAlignment="1">
      <alignment horizontal="right" vertical="center"/>
    </xf>
    <xf numFmtId="3" fontId="8" fillId="2" borderId="165" xfId="1" applyNumberFormat="1" applyFont="1" applyFill="1" applyBorder="1" applyAlignment="1">
      <alignment horizontal="right" vertical="center"/>
    </xf>
    <xf numFmtId="3" fontId="8" fillId="2" borderId="166" xfId="1" applyNumberFormat="1" applyFont="1" applyFill="1" applyBorder="1" applyAlignment="1">
      <alignment horizontal="right" vertical="center"/>
    </xf>
    <xf numFmtId="3" fontId="13" fillId="2" borderId="166" xfId="0" applyNumberFormat="1" applyFont="1" applyFill="1" applyBorder="1" applyAlignment="1">
      <alignment horizontal="right" vertical="center"/>
    </xf>
    <xf numFmtId="3" fontId="6" fillId="2" borderId="166" xfId="1" applyNumberFormat="1" applyFont="1" applyFill="1" applyBorder="1" applyAlignment="1">
      <alignment horizontal="right" vertical="center"/>
    </xf>
    <xf numFmtId="3" fontId="61" fillId="0" borderId="167" xfId="0" applyNumberFormat="1" applyFont="1" applyFill="1" applyBorder="1" applyAlignment="1">
      <alignment horizontal="right" vertical="center"/>
    </xf>
    <xf numFmtId="3" fontId="8" fillId="2" borderId="51" xfId="1" applyNumberFormat="1" applyFont="1" applyFill="1" applyBorder="1" applyAlignment="1">
      <alignment horizontal="right" vertical="center"/>
    </xf>
    <xf numFmtId="3" fontId="6" fillId="2" borderId="132" xfId="1" applyNumberFormat="1" applyFont="1" applyFill="1" applyBorder="1" applyAlignment="1">
      <alignment horizontal="right" vertical="center"/>
    </xf>
    <xf numFmtId="3" fontId="12" fillId="0" borderId="167" xfId="0" applyNumberFormat="1" applyFont="1" applyBorder="1" applyAlignment="1">
      <alignment horizontal="right" vertical="center"/>
    </xf>
    <xf numFmtId="3" fontId="8" fillId="5" borderId="168" xfId="1" applyNumberFormat="1" applyFont="1" applyFill="1" applyBorder="1" applyAlignment="1">
      <alignment horizontal="right" vertical="center"/>
    </xf>
    <xf numFmtId="0" fontId="78" fillId="0" borderId="8" xfId="0" applyFont="1" applyFill="1" applyBorder="1" applyAlignment="1">
      <alignment horizontal="right" vertical="center" wrapText="1"/>
    </xf>
    <xf numFmtId="0" fontId="72" fillId="2" borderId="8" xfId="0" applyFont="1" applyFill="1" applyBorder="1" applyAlignment="1">
      <alignment horizontal="left" vertical="center"/>
    </xf>
    <xf numFmtId="3" fontId="70" fillId="2" borderId="2" xfId="1" applyNumberFormat="1" applyFont="1" applyFill="1" applyBorder="1" applyAlignment="1">
      <alignment horizontal="right" vertical="center"/>
    </xf>
    <xf numFmtId="3" fontId="70" fillId="2" borderId="8" xfId="1" applyNumberFormat="1" applyFont="1" applyFill="1" applyBorder="1" applyAlignment="1">
      <alignment horizontal="right" vertical="center"/>
    </xf>
    <xf numFmtId="3" fontId="70" fillId="0" borderId="54" xfId="0" applyNumberFormat="1" applyFont="1" applyFill="1" applyBorder="1" applyAlignment="1">
      <alignment horizontal="right" vertical="center"/>
    </xf>
    <xf numFmtId="3" fontId="70" fillId="2" borderId="14" xfId="1" applyNumberFormat="1" applyFont="1" applyFill="1" applyBorder="1" applyAlignment="1">
      <alignment horizontal="right" vertical="center"/>
    </xf>
    <xf numFmtId="3" fontId="70" fillId="0" borderId="16" xfId="0" applyNumberFormat="1" applyFont="1" applyFill="1" applyBorder="1" applyAlignment="1">
      <alignment horizontal="right" vertical="center"/>
    </xf>
    <xf numFmtId="3" fontId="70" fillId="0" borderId="2" xfId="0" applyNumberFormat="1" applyFont="1" applyFill="1" applyBorder="1" applyAlignment="1">
      <alignment horizontal="right" vertical="center"/>
    </xf>
    <xf numFmtId="3" fontId="70" fillId="0" borderId="13" xfId="1" applyNumberFormat="1" applyFont="1" applyFill="1" applyBorder="1" applyAlignment="1">
      <alignment horizontal="right" vertical="center"/>
    </xf>
    <xf numFmtId="0" fontId="88" fillId="0" borderId="8" xfId="0" applyFont="1" applyFill="1" applyBorder="1" applyAlignment="1">
      <alignment horizontal="right" vertical="center" wrapText="1"/>
    </xf>
    <xf numFmtId="0" fontId="12" fillId="0" borderId="2" xfId="0" applyFont="1" applyFill="1" applyBorder="1" applyAlignment="1">
      <alignment horizontal="center" vertical="center"/>
    </xf>
    <xf numFmtId="0" fontId="63" fillId="0" borderId="0" xfId="0" applyFont="1" applyAlignment="1">
      <alignment vertical="center"/>
    </xf>
    <xf numFmtId="0" fontId="15" fillId="0" borderId="0" xfId="0" applyFont="1" applyAlignment="1">
      <alignment vertical="center"/>
    </xf>
    <xf numFmtId="166" fontId="63" fillId="0" borderId="0" xfId="0" applyNumberFormat="1" applyFont="1" applyAlignment="1">
      <alignment vertical="center"/>
    </xf>
    <xf numFmtId="166" fontId="84" fillId="0" borderId="0" xfId="0" applyNumberFormat="1" applyFont="1" applyAlignment="1">
      <alignment horizontal="right" vertical="center"/>
    </xf>
    <xf numFmtId="3" fontId="70" fillId="0" borderId="14" xfId="0" applyNumberFormat="1" applyFont="1" applyFill="1" applyBorder="1" applyAlignment="1">
      <alignment horizontal="right" vertical="center"/>
    </xf>
    <xf numFmtId="3" fontId="6" fillId="11" borderId="14" xfId="1" applyNumberFormat="1" applyFont="1" applyFill="1" applyBorder="1" applyAlignment="1">
      <alignment horizontal="right" vertical="center"/>
    </xf>
    <xf numFmtId="3" fontId="6" fillId="0" borderId="75" xfId="1" applyNumberFormat="1" applyFont="1" applyFill="1" applyBorder="1" applyAlignment="1" applyProtection="1">
      <alignment vertical="center" wrapText="1"/>
      <protection locked="0"/>
    </xf>
    <xf numFmtId="3" fontId="6" fillId="0" borderId="75" xfId="1" applyNumberFormat="1" applyFont="1" applyBorder="1" applyAlignment="1" applyProtection="1">
      <alignment vertical="center" wrapText="1"/>
      <protection locked="0"/>
    </xf>
    <xf numFmtId="0" fontId="13" fillId="2" borderId="8" xfId="0" applyFont="1" applyFill="1" applyBorder="1" applyAlignment="1">
      <alignment horizontal="left" vertical="center"/>
    </xf>
    <xf numFmtId="3" fontId="6" fillId="0" borderId="2" xfId="1" applyNumberFormat="1" applyFont="1" applyFill="1" applyBorder="1" applyAlignment="1" applyProtection="1">
      <alignment vertical="center"/>
      <protection locked="0"/>
    </xf>
    <xf numFmtId="3" fontId="6" fillId="0" borderId="2" xfId="1" applyNumberFormat="1" applyFont="1" applyFill="1" applyBorder="1" applyAlignment="1" applyProtection="1">
      <alignment vertical="center"/>
      <protection hidden="1"/>
    </xf>
    <xf numFmtId="3" fontId="6" fillId="0" borderId="30" xfId="1" applyNumberFormat="1" applyFont="1" applyFill="1" applyBorder="1" applyAlignment="1" applyProtection="1">
      <alignment vertical="center"/>
      <protection hidden="1"/>
    </xf>
    <xf numFmtId="3" fontId="6" fillId="0" borderId="30" xfId="1" applyNumberFormat="1" applyFont="1" applyBorder="1" applyAlignment="1" applyProtection="1">
      <alignment vertical="center"/>
      <protection locked="0"/>
    </xf>
    <xf numFmtId="3" fontId="6" fillId="0" borderId="30" xfId="1" applyNumberFormat="1" applyFont="1" applyFill="1" applyBorder="1" applyAlignment="1" applyProtection="1">
      <alignment vertical="center"/>
      <protection locked="0"/>
    </xf>
    <xf numFmtId="3" fontId="68" fillId="0" borderId="2" xfId="1" applyNumberFormat="1" applyFont="1" applyBorder="1" applyAlignment="1" applyProtection="1">
      <alignment vertical="center"/>
      <protection locked="0"/>
    </xf>
    <xf numFmtId="4" fontId="6" fillId="0" borderId="18" xfId="1" applyNumberFormat="1" applyFont="1" applyFill="1" applyBorder="1" applyAlignment="1" applyProtection="1">
      <alignment vertical="center"/>
      <protection locked="0"/>
    </xf>
    <xf numFmtId="3" fontId="68" fillId="0" borderId="30" xfId="1" applyNumberFormat="1" applyFont="1" applyBorder="1" applyAlignment="1" applyProtection="1">
      <alignment vertical="center"/>
      <protection locked="0"/>
    </xf>
    <xf numFmtId="0" fontId="80" fillId="0" borderId="82" xfId="3" applyFont="1" applyBorder="1" applyAlignment="1">
      <alignment vertical="center" wrapText="1"/>
    </xf>
    <xf numFmtId="0" fontId="80" fillId="0" borderId="68" xfId="3" applyFont="1" applyBorder="1" applyAlignment="1">
      <alignment vertical="center" wrapText="1"/>
    </xf>
    <xf numFmtId="0" fontId="80" fillId="0" borderId="19" xfId="3" applyFont="1" applyBorder="1" applyAlignment="1">
      <alignment vertical="center" wrapText="1"/>
    </xf>
    <xf numFmtId="0" fontId="77" fillId="0" borderId="82" xfId="3" applyFont="1" applyFill="1" applyBorder="1" applyAlignment="1">
      <alignment horizontal="center" vertical="center" wrapText="1"/>
    </xf>
    <xf numFmtId="0" fontId="77" fillId="0" borderId="68" xfId="3" applyFont="1" applyFill="1" applyBorder="1" applyAlignment="1">
      <alignment horizontal="center" vertical="center" wrapText="1"/>
    </xf>
    <xf numFmtId="0" fontId="77" fillId="0" borderId="19" xfId="3" applyFont="1" applyFill="1" applyBorder="1" applyAlignment="1">
      <alignment horizontal="center" vertical="center" wrapText="1"/>
    </xf>
    <xf numFmtId="49" fontId="68" fillId="0" borderId="82" xfId="3" applyNumberFormat="1" applyFont="1" applyBorder="1" applyAlignment="1">
      <alignment horizontal="center" vertical="center" wrapText="1"/>
    </xf>
    <xf numFmtId="49" fontId="68" fillId="0" borderId="31" xfId="3" applyNumberFormat="1" applyFont="1" applyBorder="1" applyAlignment="1">
      <alignment horizontal="center" vertical="center" wrapText="1"/>
    </xf>
    <xf numFmtId="49" fontId="68" fillId="0" borderId="129" xfId="3" applyNumberFormat="1" applyFont="1" applyBorder="1" applyAlignment="1">
      <alignment horizontal="center" vertical="center" wrapText="1"/>
    </xf>
    <xf numFmtId="49" fontId="68" fillId="0" borderId="135" xfId="3" applyNumberFormat="1" applyFont="1" applyBorder="1" applyAlignment="1">
      <alignment horizontal="center" vertical="center" wrapText="1"/>
    </xf>
    <xf numFmtId="0" fontId="77" fillId="0" borderId="0" xfId="1" applyFont="1" applyAlignment="1" applyProtection="1">
      <alignment horizontal="left" vertical="center"/>
      <protection locked="0"/>
    </xf>
    <xf numFmtId="0" fontId="68" fillId="0" borderId="141" xfId="3" applyFont="1" applyBorder="1" applyAlignment="1">
      <alignment horizontal="center" vertical="center"/>
    </xf>
    <xf numFmtId="4" fontId="68" fillId="0" borderId="48" xfId="3" applyNumberFormat="1" applyFont="1" applyBorder="1" applyAlignment="1">
      <alignment horizontal="right" vertical="center"/>
    </xf>
    <xf numFmtId="4" fontId="68" fillId="0" borderId="142" xfId="3" applyNumberFormat="1" applyFont="1" applyBorder="1" applyAlignment="1">
      <alignment horizontal="right" vertical="center"/>
    </xf>
    <xf numFmtId="0" fontId="77" fillId="0" borderId="82" xfId="3" applyFont="1" applyBorder="1" applyAlignment="1">
      <alignment horizontal="center" vertical="center" wrapText="1"/>
    </xf>
    <xf numFmtId="0" fontId="77" fillId="0" borderId="68" xfId="3" applyFont="1" applyBorder="1" applyAlignment="1">
      <alignment horizontal="center" vertical="center" wrapText="1"/>
    </xf>
    <xf numFmtId="0" fontId="77" fillId="0" borderId="19" xfId="3" applyFont="1" applyBorder="1" applyAlignment="1">
      <alignment horizontal="center" vertical="center" wrapText="1"/>
    </xf>
    <xf numFmtId="0" fontId="81" fillId="0" borderId="82" xfId="3" applyFont="1" applyBorder="1" applyAlignment="1">
      <alignment horizontal="left" vertical="center" wrapText="1"/>
    </xf>
    <xf numFmtId="0" fontId="81" fillId="0" borderId="68" xfId="3" applyFont="1" applyBorder="1" applyAlignment="1">
      <alignment horizontal="left" vertical="center" wrapText="1"/>
    </xf>
    <xf numFmtId="0" fontId="81" fillId="0" borderId="19" xfId="3" applyFont="1" applyBorder="1" applyAlignment="1">
      <alignment horizontal="left" vertical="center" wrapText="1"/>
    </xf>
    <xf numFmtId="4" fontId="81" fillId="0" borderId="13" xfId="3" applyNumberFormat="1" applyFont="1" applyBorder="1" applyAlignment="1">
      <alignment horizontal="right" vertical="center" wrapText="1"/>
    </xf>
    <xf numFmtId="4" fontId="81" fillId="0" borderId="18" xfId="3" applyNumberFormat="1" applyFont="1" applyBorder="1" applyAlignment="1">
      <alignment horizontal="right" vertical="center" wrapText="1"/>
    </xf>
    <xf numFmtId="0" fontId="68" fillId="0" borderId="79" xfId="3" applyFont="1" applyBorder="1" applyAlignment="1">
      <alignment horizontal="center" vertical="center" wrapText="1"/>
    </xf>
    <xf numFmtId="0" fontId="68" fillId="0" borderId="50" xfId="3" applyFont="1" applyBorder="1" applyAlignment="1">
      <alignment horizontal="center" vertical="center" wrapText="1"/>
    </xf>
    <xf numFmtId="0" fontId="68" fillId="0" borderId="16" xfId="3" applyFont="1" applyBorder="1" applyAlignment="1">
      <alignment horizontal="center" vertical="center" wrapText="1"/>
    </xf>
    <xf numFmtId="0" fontId="77" fillId="0" borderId="0" xfId="3" applyFont="1" applyBorder="1" applyAlignment="1">
      <alignment horizontal="left" vertical="center" wrapText="1"/>
    </xf>
    <xf numFmtId="0" fontId="68" fillId="0" borderId="141" xfId="3" applyFont="1" applyBorder="1" applyAlignment="1">
      <alignment horizontal="center" vertical="center" wrapText="1"/>
    </xf>
    <xf numFmtId="0" fontId="81" fillId="0" borderId="129" xfId="3" applyFont="1" applyBorder="1" applyAlignment="1">
      <alignment horizontal="center" vertical="center" wrapText="1"/>
    </xf>
    <xf numFmtId="0" fontId="81" fillId="0" borderId="88" xfId="3" applyFont="1" applyBorder="1" applyAlignment="1">
      <alignment horizontal="center" vertical="center" wrapText="1"/>
    </xf>
    <xf numFmtId="4" fontId="68" fillId="0" borderId="75" xfId="3" applyNumberFormat="1" applyFont="1" applyBorder="1" applyAlignment="1">
      <alignment horizontal="right" vertical="center"/>
    </xf>
    <xf numFmtId="4" fontId="68" fillId="0" borderId="112" xfId="3" applyNumberFormat="1" applyFont="1" applyBorder="1" applyAlignment="1">
      <alignment horizontal="right" vertical="center"/>
    </xf>
    <xf numFmtId="4" fontId="81" fillId="0" borderId="13" xfId="3" applyNumberFormat="1" applyFont="1" applyBorder="1" applyAlignment="1">
      <alignment horizontal="center" vertical="center" wrapText="1"/>
    </xf>
    <xf numFmtId="4" fontId="81" fillId="0" borderId="18" xfId="3" applyNumberFormat="1" applyFont="1" applyBorder="1" applyAlignment="1">
      <alignment horizontal="center" vertical="center" wrapText="1"/>
    </xf>
    <xf numFmtId="0" fontId="28" fillId="0" borderId="0" xfId="1" applyFont="1" applyAlignment="1" applyProtection="1">
      <alignment vertical="center" wrapText="1"/>
      <protection locked="0"/>
    </xf>
    <xf numFmtId="0" fontId="74" fillId="0" borderId="129" xfId="0" applyFont="1" applyBorder="1" applyAlignment="1">
      <alignment horizontal="center" vertical="center"/>
    </xf>
    <xf numFmtId="0" fontId="74" fillId="0" borderId="88" xfId="0" applyFont="1" applyBorder="1" applyAlignment="1">
      <alignment horizontal="center" vertical="center"/>
    </xf>
    <xf numFmtId="0" fontId="74" fillId="0" borderId="92" xfId="0" applyFont="1" applyBorder="1" applyAlignment="1">
      <alignment horizontal="center" vertical="center"/>
    </xf>
    <xf numFmtId="0" fontId="74" fillId="0" borderId="129" xfId="0" applyFont="1" applyFill="1" applyBorder="1" applyAlignment="1">
      <alignment horizontal="center" vertical="center"/>
    </xf>
    <xf numFmtId="0" fontId="74" fillId="0" borderId="88" xfId="0" applyFont="1" applyFill="1" applyBorder="1" applyAlignment="1">
      <alignment horizontal="center" vertical="center"/>
    </xf>
    <xf numFmtId="0" fontId="74" fillId="0" borderId="92" xfId="0" applyFont="1" applyFill="1" applyBorder="1" applyAlignment="1">
      <alignment horizontal="center" vertical="center"/>
    </xf>
    <xf numFmtId="0" fontId="8" fillId="4" borderId="24" xfId="1" applyFont="1" applyFill="1" applyBorder="1" applyAlignment="1">
      <alignment horizontal="center" vertical="center"/>
    </xf>
    <xf numFmtId="0" fontId="8" fillId="4" borderId="87" xfId="1" applyFont="1" applyFill="1" applyBorder="1" applyAlignment="1">
      <alignment horizontal="center" vertical="center"/>
    </xf>
    <xf numFmtId="0" fontId="6" fillId="5" borderId="39" xfId="4" applyFont="1" applyFill="1" applyBorder="1" applyAlignment="1">
      <alignment horizontal="left" vertical="center"/>
    </xf>
    <xf numFmtId="0" fontId="6" fillId="5" borderId="40" xfId="4" applyFont="1" applyFill="1" applyBorder="1" applyAlignment="1">
      <alignment horizontal="left" vertical="center"/>
    </xf>
    <xf numFmtId="0" fontId="8" fillId="4" borderId="143" xfId="4" applyFont="1" applyFill="1" applyBorder="1" applyAlignment="1">
      <alignment horizontal="left" vertical="center"/>
    </xf>
    <xf numFmtId="0" fontId="8" fillId="4" borderId="144" xfId="4" applyFont="1" applyFill="1" applyBorder="1" applyAlignment="1">
      <alignment horizontal="left" vertical="center"/>
    </xf>
    <xf numFmtId="0" fontId="8" fillId="4" borderId="145" xfId="4" applyFont="1" applyFill="1" applyBorder="1" applyAlignment="1">
      <alignment horizontal="left" vertical="center"/>
    </xf>
    <xf numFmtId="0" fontId="8" fillId="0" borderId="91" xfId="1" applyFont="1" applyFill="1" applyBorder="1" applyAlignment="1">
      <alignment horizontal="center" vertical="center"/>
    </xf>
    <xf numFmtId="0" fontId="8" fillId="0" borderId="126" xfId="1" applyFont="1" applyFill="1" applyBorder="1" applyAlignment="1">
      <alignment horizontal="center" vertical="center"/>
    </xf>
    <xf numFmtId="0" fontId="8" fillId="0" borderId="146" xfId="1" applyFont="1" applyFill="1" applyBorder="1" applyAlignment="1">
      <alignment horizontal="center" vertical="center"/>
    </xf>
    <xf numFmtId="0" fontId="8" fillId="0" borderId="95"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49" xfId="1" applyFont="1" applyFill="1" applyBorder="1" applyAlignment="1">
      <alignment horizontal="center" vertical="center"/>
    </xf>
    <xf numFmtId="0" fontId="8" fillId="0" borderId="130" xfId="1" applyFont="1" applyFill="1" applyBorder="1" applyAlignment="1">
      <alignment horizontal="center" vertical="center"/>
    </xf>
    <xf numFmtId="0" fontId="8" fillId="0" borderId="141" xfId="1" applyFont="1" applyFill="1" applyBorder="1" applyAlignment="1">
      <alignment horizontal="center" vertical="center"/>
    </xf>
    <xf numFmtId="0" fontId="8" fillId="0" borderId="20" xfId="1" applyFont="1" applyFill="1" applyBorder="1" applyAlignment="1">
      <alignment horizontal="center" vertical="center"/>
    </xf>
    <xf numFmtId="0" fontId="6" fillId="0" borderId="129" xfId="1" applyFont="1" applyFill="1" applyBorder="1" applyAlignment="1">
      <alignment horizontal="center" vertical="center" wrapText="1"/>
    </xf>
    <xf numFmtId="0" fontId="6" fillId="0" borderId="79" xfId="1" applyFont="1" applyFill="1" applyBorder="1" applyAlignment="1">
      <alignment horizontal="center" vertical="center" wrapText="1"/>
    </xf>
    <xf numFmtId="0" fontId="6" fillId="0" borderId="147" xfId="1" applyFont="1" applyFill="1" applyBorder="1" applyAlignment="1">
      <alignment horizontal="center" vertical="center" wrapText="1"/>
    </xf>
    <xf numFmtId="0" fontId="8" fillId="4" borderId="25" xfId="1" applyFont="1" applyFill="1" applyBorder="1" applyAlignment="1">
      <alignment horizontal="center" vertical="center"/>
    </xf>
    <xf numFmtId="0" fontId="6" fillId="3" borderId="0" xfId="1" applyFont="1" applyFill="1" applyAlignment="1">
      <alignment horizontal="left" vertical="center" wrapText="1"/>
    </xf>
    <xf numFmtId="0" fontId="8" fillId="4" borderId="148" xfId="4" applyFont="1" applyFill="1" applyBorder="1" applyAlignment="1">
      <alignment horizontal="left" vertical="center"/>
    </xf>
    <xf numFmtId="0" fontId="8" fillId="4" borderId="149" xfId="4" applyFont="1" applyFill="1" applyBorder="1" applyAlignment="1">
      <alignment horizontal="left" vertical="center"/>
    </xf>
    <xf numFmtId="0" fontId="8" fillId="4" borderId="150" xfId="4" applyFont="1" applyFill="1" applyBorder="1" applyAlignment="1">
      <alignment horizontal="left" vertical="center"/>
    </xf>
    <xf numFmtId="0" fontId="13" fillId="0" borderId="65" xfId="0" applyFont="1" applyBorder="1" applyAlignment="1">
      <alignment horizontal="center" vertical="center" wrapText="1" shrinkToFit="1"/>
    </xf>
    <xf numFmtId="0" fontId="13" fillId="0" borderId="26" xfId="0" applyFont="1" applyBorder="1" applyAlignment="1">
      <alignment horizontal="center" vertical="center" wrapText="1" shrinkToFit="1"/>
    </xf>
    <xf numFmtId="0" fontId="12" fillId="0" borderId="66" xfId="0" applyFont="1" applyFill="1" applyBorder="1" applyAlignment="1">
      <alignment horizontal="center" vertical="center" wrapText="1" shrinkToFit="1"/>
    </xf>
    <xf numFmtId="0" fontId="12" fillId="0" borderId="15" xfId="0" applyFont="1" applyFill="1" applyBorder="1" applyAlignment="1">
      <alignment horizontal="center" vertical="center" wrapText="1" shrinkToFit="1"/>
    </xf>
    <xf numFmtId="0" fontId="13" fillId="2" borderId="50" xfId="0" applyFont="1" applyFill="1" applyBorder="1" applyAlignment="1">
      <alignment horizontal="left" vertical="center"/>
    </xf>
    <xf numFmtId="0" fontId="13" fillId="2" borderId="18" xfId="0" applyFont="1" applyFill="1" applyBorder="1" applyAlignment="1">
      <alignment horizontal="left" vertical="center"/>
    </xf>
    <xf numFmtId="0" fontId="12" fillId="0" borderId="66" xfId="0" applyFont="1" applyBorder="1" applyAlignment="1">
      <alignment horizontal="center" vertical="center" wrapText="1"/>
    </xf>
    <xf numFmtId="0" fontId="12" fillId="0" borderId="101" xfId="0" applyFont="1" applyBorder="1" applyAlignment="1">
      <alignment horizontal="center" vertical="center" wrapText="1"/>
    </xf>
    <xf numFmtId="0" fontId="12" fillId="0" borderId="17" xfId="0" applyFont="1" applyBorder="1" applyAlignment="1">
      <alignment horizontal="center" vertical="center" wrapText="1"/>
    </xf>
    <xf numFmtId="0" fontId="13" fillId="2" borderId="2" xfId="0" applyFont="1" applyFill="1" applyBorder="1" applyAlignment="1">
      <alignment horizontal="left" vertical="center"/>
    </xf>
    <xf numFmtId="0" fontId="13" fillId="2" borderId="8" xfId="0" applyFont="1" applyFill="1" applyBorder="1" applyAlignment="1">
      <alignment horizontal="left" vertical="center"/>
    </xf>
    <xf numFmtId="0" fontId="12" fillId="0" borderId="126" xfId="0" applyFont="1" applyBorder="1" applyAlignment="1">
      <alignment horizontal="center" vertical="center"/>
    </xf>
    <xf numFmtId="0" fontId="12" fillId="0" borderId="146" xfId="0" applyFont="1" applyBorder="1" applyAlignment="1">
      <alignment horizontal="center" vertical="center"/>
    </xf>
    <xf numFmtId="0" fontId="12" fillId="0" borderId="0" xfId="0" applyFont="1" applyBorder="1" applyAlignment="1">
      <alignment horizontal="center" vertical="center"/>
    </xf>
    <xf numFmtId="0" fontId="12" fillId="0" borderId="49" xfId="0" applyFont="1" applyBorder="1" applyAlignment="1">
      <alignment horizontal="center" vertical="center"/>
    </xf>
    <xf numFmtId="0" fontId="12" fillId="0" borderId="141" xfId="0" applyFont="1" applyBorder="1" applyAlignment="1">
      <alignment horizontal="center" vertical="center"/>
    </xf>
    <xf numFmtId="0" fontId="12" fillId="0" borderId="20" xfId="0" applyFont="1" applyBorder="1" applyAlignment="1">
      <alignment horizontal="center" vertical="center"/>
    </xf>
    <xf numFmtId="0" fontId="12" fillId="0" borderId="65" xfId="0" applyFont="1" applyBorder="1" applyAlignment="1">
      <alignment horizontal="center" vertical="center" wrapText="1" shrinkToFit="1"/>
    </xf>
    <xf numFmtId="0" fontId="12" fillId="0" borderId="26" xfId="0" applyFont="1" applyBorder="1" applyAlignment="1">
      <alignment horizontal="center" vertical="center" wrapText="1" shrinkToFit="1"/>
    </xf>
    <xf numFmtId="0" fontId="12" fillId="0" borderId="136" xfId="0" applyFont="1" applyBorder="1" applyAlignment="1">
      <alignment horizontal="center" vertical="center" wrapText="1" shrinkToFit="1"/>
    </xf>
    <xf numFmtId="0" fontId="12" fillId="0" borderId="126" xfId="0" applyFont="1" applyBorder="1" applyAlignment="1">
      <alignment horizontal="center" vertical="center" wrapText="1" shrinkToFit="1"/>
    </xf>
    <xf numFmtId="0" fontId="12" fillId="0" borderId="64" xfId="0" applyFont="1" applyBorder="1" applyAlignment="1">
      <alignment horizontal="center" vertical="center" wrapText="1" shrinkToFit="1"/>
    </xf>
    <xf numFmtId="0" fontId="12" fillId="0" borderId="25" xfId="0" applyFont="1" applyBorder="1" applyAlignment="1">
      <alignment horizontal="center" vertical="center" wrapText="1" shrinkToFit="1"/>
    </xf>
    <xf numFmtId="0" fontId="12" fillId="0" borderId="24" xfId="0" applyFont="1" applyBorder="1" applyAlignment="1">
      <alignment horizontal="center" vertical="center" wrapText="1" shrinkToFit="1"/>
    </xf>
    <xf numFmtId="0" fontId="12" fillId="0" borderId="0" xfId="0" applyFont="1" applyAlignment="1">
      <alignment horizontal="left" vertical="center" wrapText="1"/>
    </xf>
    <xf numFmtId="0" fontId="12" fillId="0" borderId="61" xfId="0" applyFont="1" applyFill="1" applyBorder="1" applyAlignment="1">
      <alignment horizontal="left" wrapText="1"/>
    </xf>
    <xf numFmtId="0" fontId="12" fillId="0" borderId="77" xfId="0" applyFont="1" applyFill="1" applyBorder="1" applyAlignment="1">
      <alignment horizontal="left" wrapText="1"/>
    </xf>
    <xf numFmtId="0" fontId="12" fillId="0" borderId="24"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66" xfId="0" applyFont="1" applyBorder="1" applyAlignment="1">
      <alignment horizontal="center" vertical="center" wrapText="1" shrinkToFit="1"/>
    </xf>
    <xf numFmtId="0" fontId="12" fillId="0" borderId="15" xfId="0" applyFont="1" applyBorder="1" applyAlignment="1">
      <alignment horizontal="center" vertical="center" wrapText="1" shrinkToFit="1"/>
    </xf>
    <xf numFmtId="0" fontId="12" fillId="0" borderId="161" xfId="0" applyFont="1" applyFill="1" applyBorder="1" applyAlignment="1">
      <alignment horizontal="left" wrapText="1"/>
    </xf>
    <xf numFmtId="0" fontId="12" fillId="0" borderId="162" xfId="0" applyFont="1" applyFill="1" applyBorder="1" applyAlignment="1">
      <alignment horizontal="left" wrapText="1"/>
    </xf>
    <xf numFmtId="0" fontId="12" fillId="0" borderId="61" xfId="0" applyFont="1" applyBorder="1" applyAlignment="1">
      <alignment horizontal="left" wrapText="1" shrinkToFit="1"/>
    </xf>
    <xf numFmtId="0" fontId="12" fillId="0" borderId="77" xfId="0" applyFont="1" applyBorder="1" applyAlignment="1">
      <alignment horizontal="left" wrapText="1" shrinkToFit="1"/>
    </xf>
    <xf numFmtId="0" fontId="12" fillId="0" borderId="128" xfId="0" applyFont="1" applyBorder="1" applyAlignment="1">
      <alignment horizontal="center" vertical="center" wrapText="1" shrinkToFit="1"/>
    </xf>
    <xf numFmtId="0" fontId="12" fillId="0" borderId="152" xfId="0" applyFont="1" applyBorder="1" applyAlignment="1">
      <alignment horizontal="center" vertical="center" wrapText="1" shrinkToFit="1"/>
    </xf>
    <xf numFmtId="0" fontId="12" fillId="0" borderId="87" xfId="0" applyFont="1" applyBorder="1" applyAlignment="1">
      <alignment horizontal="center" vertical="center"/>
    </xf>
    <xf numFmtId="0" fontId="12" fillId="0" borderId="8" xfId="0" applyFont="1" applyBorder="1" applyAlignment="1">
      <alignment horizontal="center" vertical="center"/>
    </xf>
    <xf numFmtId="0" fontId="12" fillId="0" borderId="1" xfId="0" applyFont="1" applyBorder="1" applyAlignment="1">
      <alignment horizontal="center" vertical="center"/>
    </xf>
    <xf numFmtId="0" fontId="12" fillId="0" borderId="135" xfId="0" applyFont="1" applyBorder="1" applyAlignment="1">
      <alignment horizontal="center" vertical="center" wrapText="1" shrinkToFit="1"/>
    </xf>
    <xf numFmtId="0" fontId="6" fillId="0" borderId="0" xfId="5" applyFont="1" applyFill="1" applyAlignment="1" applyProtection="1">
      <alignment horizontal="left" vertical="center" wrapText="1"/>
      <protection locked="0"/>
    </xf>
    <xf numFmtId="0" fontId="12" fillId="0" borderId="61" xfId="0" applyFont="1" applyBorder="1" applyAlignment="1">
      <alignment horizontal="center" vertical="center" wrapText="1" shrinkToFit="1"/>
    </xf>
    <xf numFmtId="0" fontId="12" fillId="0" borderId="77" xfId="0" applyFont="1" applyBorder="1" applyAlignment="1">
      <alignment horizontal="center" vertical="center" wrapText="1" shrinkToFit="1"/>
    </xf>
    <xf numFmtId="0" fontId="13" fillId="0" borderId="65" xfId="0" applyFont="1" applyFill="1" applyBorder="1" applyAlignment="1">
      <alignment horizontal="center" vertical="center" wrapText="1" shrinkToFit="1"/>
    </xf>
    <xf numFmtId="0" fontId="13" fillId="0" borderId="26" xfId="0" applyFont="1" applyFill="1" applyBorder="1" applyAlignment="1">
      <alignment horizontal="center" vertical="center" wrapText="1" shrinkToFit="1"/>
    </xf>
    <xf numFmtId="0" fontId="6" fillId="0" borderId="24" xfId="5" applyFont="1" applyBorder="1" applyAlignment="1">
      <alignment horizontal="center" vertical="center" wrapText="1"/>
    </xf>
    <xf numFmtId="0" fontId="6" fillId="0" borderId="14" xfId="5" applyFont="1" applyBorder="1" applyAlignment="1">
      <alignment horizontal="center" vertical="center" wrapText="1"/>
    </xf>
    <xf numFmtId="0" fontId="6" fillId="0" borderId="7" xfId="5" applyFont="1" applyBorder="1" applyAlignment="1">
      <alignment horizontal="center" vertical="center" wrapText="1"/>
    </xf>
    <xf numFmtId="0" fontId="6" fillId="0" borderId="64" xfId="5" applyFont="1" applyFill="1" applyBorder="1" applyAlignment="1" applyProtection="1">
      <alignment horizontal="center" vertical="center" wrapText="1" shrinkToFit="1"/>
      <protection locked="0"/>
    </xf>
    <xf numFmtId="0" fontId="6" fillId="0" borderId="131" xfId="5" applyFont="1" applyFill="1" applyBorder="1" applyAlignment="1" applyProtection="1">
      <alignment horizontal="center" vertical="center" wrapText="1" shrinkToFit="1"/>
      <protection locked="0"/>
    </xf>
    <xf numFmtId="0" fontId="6" fillId="0" borderId="86" xfId="5" applyFont="1" applyFill="1" applyBorder="1" applyAlignment="1" applyProtection="1">
      <alignment horizontal="center" vertical="center" wrapText="1" shrinkToFit="1"/>
      <protection locked="0"/>
    </xf>
    <xf numFmtId="0" fontId="6" fillId="0" borderId="65" xfId="1" applyFont="1" applyFill="1" applyBorder="1" applyAlignment="1" applyProtection="1">
      <alignment horizontal="center" vertical="center"/>
      <protection locked="0"/>
    </xf>
    <xf numFmtId="0" fontId="6" fillId="0" borderId="125" xfId="1" applyFont="1" applyFill="1" applyBorder="1" applyAlignment="1" applyProtection="1">
      <alignment horizontal="center" vertical="center"/>
      <protection locked="0"/>
    </xf>
    <xf numFmtId="0" fontId="6" fillId="0" borderId="12" xfId="1" applyFont="1" applyFill="1" applyBorder="1" applyAlignment="1" applyProtection="1">
      <alignment horizontal="center" vertical="center"/>
      <protection locked="0"/>
    </xf>
    <xf numFmtId="0" fontId="12" fillId="0" borderId="87" xfId="0" applyFont="1" applyBorder="1" applyAlignment="1">
      <alignment horizontal="center" vertical="center" wrapText="1" shrinkToFit="1"/>
    </xf>
    <xf numFmtId="16" fontId="12" fillId="0" borderId="50" xfId="1" applyNumberFormat="1" applyFont="1" applyBorder="1" applyAlignment="1">
      <alignment horizontal="left" vertical="center"/>
    </xf>
    <xf numFmtId="0" fontId="12" fillId="0" borderId="50" xfId="1" applyFont="1" applyBorder="1" applyAlignment="1">
      <alignment horizontal="left" vertical="center"/>
    </xf>
    <xf numFmtId="0" fontId="12" fillId="0" borderId="153" xfId="0" applyFont="1" applyBorder="1" applyAlignment="1">
      <alignment horizontal="center" vertical="center" wrapText="1" shrinkToFit="1"/>
    </xf>
    <xf numFmtId="0" fontId="12" fillId="0" borderId="154" xfId="0" applyFont="1" applyFill="1" applyBorder="1" applyAlignment="1">
      <alignment horizontal="left" wrapText="1"/>
    </xf>
    <xf numFmtId="0" fontId="12" fillId="0" borderId="155" xfId="0" applyFont="1" applyFill="1" applyBorder="1" applyAlignment="1">
      <alignment horizontal="left" wrapText="1"/>
    </xf>
    <xf numFmtId="0" fontId="12" fillId="0" borderId="63" xfId="0" applyFont="1" applyFill="1" applyBorder="1" applyAlignment="1">
      <alignment horizontal="left" wrapText="1"/>
    </xf>
    <xf numFmtId="0" fontId="12" fillId="0" borderId="151" xfId="0" applyFont="1" applyFill="1" applyBorder="1" applyAlignment="1">
      <alignment horizontal="left" wrapText="1"/>
    </xf>
    <xf numFmtId="0" fontId="13" fillId="2" borderId="13" xfId="1" applyFont="1" applyFill="1" applyBorder="1" applyAlignment="1">
      <alignment horizontal="left" vertical="center"/>
    </xf>
    <xf numFmtId="0" fontId="13" fillId="2" borderId="50" xfId="1" applyFont="1" applyFill="1" applyBorder="1" applyAlignment="1">
      <alignment horizontal="left" vertical="center"/>
    </xf>
    <xf numFmtId="0" fontId="13" fillId="2" borderId="55" xfId="1" applyFont="1" applyFill="1" applyBorder="1" applyAlignment="1">
      <alignment horizontal="left" vertical="center"/>
    </xf>
    <xf numFmtId="49" fontId="13" fillId="0" borderId="16" xfId="1" applyNumberFormat="1" applyFont="1" applyBorder="1" applyAlignment="1">
      <alignment horizontal="left" vertical="center" wrapText="1"/>
    </xf>
    <xf numFmtId="49" fontId="13" fillId="0" borderId="2" xfId="1" applyNumberFormat="1" applyFont="1" applyBorder="1" applyAlignment="1">
      <alignment horizontal="left" vertical="center"/>
    </xf>
    <xf numFmtId="49" fontId="13" fillId="0" borderId="13" xfId="1" applyNumberFormat="1" applyFont="1" applyBorder="1" applyAlignment="1">
      <alignment horizontal="left" vertical="center"/>
    </xf>
    <xf numFmtId="0" fontId="13" fillId="2" borderId="88" xfId="0" applyFont="1" applyFill="1" applyBorder="1" applyAlignment="1">
      <alignment horizontal="left" vertical="center"/>
    </xf>
    <xf numFmtId="0" fontId="13" fillId="2" borderId="13" xfId="0" applyFont="1" applyFill="1" applyBorder="1" applyAlignment="1">
      <alignment horizontal="left" vertical="center"/>
    </xf>
    <xf numFmtId="0" fontId="13" fillId="2" borderId="55" xfId="0" applyFont="1" applyFill="1" applyBorder="1" applyAlignment="1">
      <alignment horizontal="left" vertical="center"/>
    </xf>
    <xf numFmtId="0" fontId="12" fillId="0" borderId="156" xfId="0" applyFont="1" applyFill="1" applyBorder="1" applyAlignment="1">
      <alignment horizontal="center" vertical="center" wrapText="1"/>
    </xf>
    <xf numFmtId="0" fontId="12" fillId="0" borderId="70" xfId="0" applyFont="1" applyFill="1" applyBorder="1" applyAlignment="1">
      <alignment horizontal="center" vertical="center" wrapText="1"/>
    </xf>
    <xf numFmtId="0" fontId="12" fillId="0" borderId="157" xfId="0" applyFont="1" applyFill="1" applyBorder="1" applyAlignment="1">
      <alignment horizontal="center" vertical="center" wrapText="1"/>
    </xf>
    <xf numFmtId="0" fontId="13" fillId="2" borderId="65" xfId="0" applyFont="1" applyFill="1" applyBorder="1" applyAlignment="1">
      <alignment horizontal="center" vertical="center" wrapText="1" shrinkToFit="1"/>
    </xf>
    <xf numFmtId="0" fontId="13" fillId="2" borderId="26" xfId="0" applyFont="1" applyFill="1" applyBorder="1" applyAlignment="1">
      <alignment horizontal="center" vertical="center" wrapText="1" shrinkToFit="1"/>
    </xf>
    <xf numFmtId="0" fontId="12" fillId="0" borderId="72" xfId="1" applyFont="1" applyBorder="1" applyAlignment="1">
      <alignment horizontal="left" vertical="center"/>
    </xf>
    <xf numFmtId="0" fontId="13" fillId="0" borderId="50" xfId="1" applyFont="1" applyBorder="1" applyAlignment="1">
      <alignment horizontal="left" vertical="center"/>
    </xf>
    <xf numFmtId="49" fontId="13" fillId="0" borderId="76" xfId="1" applyNumberFormat="1" applyFont="1" applyBorder="1" applyAlignment="1">
      <alignment horizontal="left" vertical="center" wrapText="1"/>
    </xf>
    <xf numFmtId="49" fontId="13" fillId="0" borderId="77" xfId="1" applyNumberFormat="1" applyFont="1" applyBorder="1" applyAlignment="1">
      <alignment horizontal="left" vertical="center"/>
    </xf>
    <xf numFmtId="49" fontId="13" fillId="0" borderId="75" xfId="1" applyNumberFormat="1" applyFont="1" applyBorder="1" applyAlignment="1">
      <alignment horizontal="left" vertical="center"/>
    </xf>
    <xf numFmtId="16" fontId="6" fillId="0" borderId="50" xfId="1" applyNumberFormat="1" applyFont="1" applyBorder="1" applyAlignment="1">
      <alignment horizontal="left" vertical="center"/>
    </xf>
    <xf numFmtId="0" fontId="6" fillId="0" borderId="50" xfId="1" applyFont="1" applyBorder="1" applyAlignment="1">
      <alignment horizontal="left" vertical="center"/>
    </xf>
    <xf numFmtId="16" fontId="12" fillId="0" borderId="50" xfId="1" applyNumberFormat="1" applyFont="1" applyBorder="1" applyAlignment="1">
      <alignment horizontal="left" vertical="center" wrapText="1"/>
    </xf>
    <xf numFmtId="0" fontId="12" fillId="0" borderId="55" xfId="1" applyFont="1" applyBorder="1" applyAlignment="1">
      <alignment horizontal="left" vertical="center" wrapText="1"/>
    </xf>
    <xf numFmtId="16" fontId="12" fillId="3" borderId="50" xfId="0" applyNumberFormat="1" applyFont="1" applyFill="1" applyBorder="1" applyAlignment="1">
      <alignment horizontal="left" vertical="center" wrapText="1"/>
    </xf>
    <xf numFmtId="0" fontId="0" fillId="0" borderId="55" xfId="0" applyBorder="1" applyAlignment="1">
      <alignment horizontal="left" vertical="center" wrapText="1"/>
    </xf>
    <xf numFmtId="16" fontId="6" fillId="3" borderId="50" xfId="1" applyNumberFormat="1" applyFont="1" applyFill="1" applyBorder="1" applyAlignment="1">
      <alignment horizontal="left" vertical="center" wrapText="1"/>
    </xf>
    <xf numFmtId="16" fontId="6" fillId="3" borderId="55" xfId="1" applyNumberFormat="1" applyFont="1" applyFill="1" applyBorder="1" applyAlignment="1">
      <alignment horizontal="left" vertical="center" wrapText="1"/>
    </xf>
    <xf numFmtId="16" fontId="12" fillId="0" borderId="72" xfId="1" applyNumberFormat="1" applyFont="1" applyBorder="1" applyAlignment="1">
      <alignment horizontal="left" vertical="center"/>
    </xf>
    <xf numFmtId="0" fontId="6" fillId="0" borderId="0" xfId="0" applyFont="1" applyAlignment="1">
      <alignment horizontal="left" vertical="center" wrapText="1"/>
    </xf>
    <xf numFmtId="0" fontId="12" fillId="0" borderId="0" xfId="0" applyFont="1" applyFill="1" applyAlignment="1">
      <alignment horizontal="left" vertical="center" wrapText="1"/>
    </xf>
    <xf numFmtId="0" fontId="43" fillId="0" borderId="0" xfId="0" applyFont="1" applyFill="1" applyAlignment="1">
      <alignment horizontal="left" vertical="center" wrapText="1"/>
    </xf>
    <xf numFmtId="0" fontId="28" fillId="0" borderId="30" xfId="1" applyFont="1" applyBorder="1" applyAlignment="1" applyProtection="1">
      <alignment horizontal="center" vertical="center"/>
      <protection locked="0"/>
    </xf>
    <xf numFmtId="0" fontId="28" fillId="0" borderId="89" xfId="1" applyFont="1" applyBorder="1" applyAlignment="1" applyProtection="1">
      <alignment horizontal="center" vertical="center"/>
      <protection locked="0"/>
    </xf>
    <xf numFmtId="0" fontId="28" fillId="0" borderId="77" xfId="1" applyFont="1" applyBorder="1" applyAlignment="1" applyProtection="1">
      <alignment horizontal="center" vertical="center"/>
      <protection locked="0"/>
    </xf>
    <xf numFmtId="0" fontId="28" fillId="2" borderId="48" xfId="1" applyFont="1" applyFill="1" applyBorder="1" applyAlignment="1" applyProtection="1">
      <alignment horizontal="left" vertical="center"/>
      <protection locked="0"/>
    </xf>
    <xf numFmtId="0" fontId="28" fillId="2" borderId="10" xfId="1" applyFont="1" applyFill="1" applyBorder="1" applyAlignment="1" applyProtection="1">
      <alignment horizontal="left" vertical="center"/>
      <protection locked="0"/>
    </xf>
    <xf numFmtId="0" fontId="28" fillId="2" borderId="13" xfId="1" applyFont="1" applyFill="1" applyBorder="1" applyAlignment="1" applyProtection="1">
      <alignment horizontal="left" vertical="center"/>
      <protection locked="0"/>
    </xf>
    <xf numFmtId="0" fontId="28" fillId="2" borderId="16" xfId="1" applyFont="1" applyFill="1" applyBorder="1" applyAlignment="1" applyProtection="1">
      <alignment horizontal="left" vertical="center"/>
      <protection locked="0"/>
    </xf>
    <xf numFmtId="0" fontId="6" fillId="0" borderId="0" xfId="1" applyFont="1" applyBorder="1" applyAlignment="1" applyProtection="1">
      <alignment horizontal="left" wrapText="1"/>
      <protection locked="0"/>
    </xf>
    <xf numFmtId="0" fontId="43" fillId="0" borderId="0" xfId="0" applyFont="1" applyAlignment="1">
      <alignment horizontal="left" vertical="center" wrapText="1"/>
    </xf>
    <xf numFmtId="0" fontId="28" fillId="0" borderId="24" xfId="1" applyFont="1" applyBorder="1" applyAlignment="1" applyProtection="1">
      <alignment horizontal="center" vertical="center"/>
      <protection locked="0"/>
    </xf>
    <xf numFmtId="0" fontId="28" fillId="0" borderId="7" xfId="1" applyFont="1" applyBorder="1" applyAlignment="1" applyProtection="1">
      <alignment horizontal="center" vertical="center"/>
      <protection locked="0"/>
    </xf>
    <xf numFmtId="0" fontId="28" fillId="0" borderId="25" xfId="1" applyFont="1" applyBorder="1" applyAlignment="1" applyProtection="1">
      <alignment horizontal="center" vertical="center" wrapText="1"/>
      <protection locked="0"/>
    </xf>
    <xf numFmtId="0" fontId="28" fillId="0" borderId="9" xfId="1" applyFont="1" applyBorder="1" applyAlignment="1" applyProtection="1">
      <alignment horizontal="center" vertical="center" wrapText="1"/>
      <protection locked="0"/>
    </xf>
    <xf numFmtId="0" fontId="6" fillId="0" borderId="25" xfId="1" applyFont="1" applyBorder="1" applyAlignment="1" applyProtection="1">
      <alignment horizontal="center" vertical="center"/>
      <protection locked="0"/>
    </xf>
    <xf numFmtId="0" fontId="28" fillId="0" borderId="25" xfId="1" applyFont="1" applyBorder="1" applyAlignment="1" applyProtection="1">
      <alignment horizontal="center" vertical="center"/>
      <protection locked="0"/>
    </xf>
    <xf numFmtId="0" fontId="28" fillId="0" borderId="87" xfId="1" applyFont="1" applyBorder="1" applyAlignment="1" applyProtection="1">
      <alignment horizontal="center" vertical="center"/>
      <protection locked="0"/>
    </xf>
    <xf numFmtId="0" fontId="28" fillId="2" borderId="77" xfId="1" applyFont="1" applyFill="1" applyBorder="1" applyAlignment="1" applyProtection="1">
      <alignment horizontal="left" vertical="center" wrapText="1"/>
      <protection locked="0"/>
    </xf>
    <xf numFmtId="0" fontId="6" fillId="0" borderId="0" xfId="1" applyFont="1" applyAlignment="1" applyProtection="1">
      <alignment horizontal="left" vertical="center" wrapText="1"/>
      <protection locked="0"/>
    </xf>
    <xf numFmtId="0" fontId="6" fillId="0" borderId="66" xfId="1" applyFont="1" applyBorder="1" applyAlignment="1" applyProtection="1">
      <alignment horizontal="center" vertical="center" wrapText="1"/>
      <protection locked="0"/>
    </xf>
    <xf numFmtId="0" fontId="6" fillId="0" borderId="17" xfId="1" applyFont="1" applyBorder="1" applyAlignment="1" applyProtection="1">
      <alignment horizontal="center" vertical="center" wrapText="1"/>
      <protection locked="0"/>
    </xf>
    <xf numFmtId="0" fontId="6" fillId="0" borderId="61" xfId="1" applyFont="1" applyBorder="1" applyAlignment="1" applyProtection="1">
      <alignment horizontal="center" vertical="center" wrapText="1"/>
      <protection locked="0"/>
    </xf>
    <xf numFmtId="0" fontId="6" fillId="0" borderId="11" xfId="1" applyFont="1" applyBorder="1" applyAlignment="1" applyProtection="1">
      <alignment horizontal="center" vertical="center" wrapText="1"/>
      <protection locked="0"/>
    </xf>
    <xf numFmtId="0" fontId="28" fillId="0" borderId="91" xfId="1" applyFont="1" applyFill="1" applyBorder="1" applyAlignment="1" applyProtection="1">
      <alignment horizontal="center" vertical="center" wrapText="1"/>
      <protection locked="0"/>
    </xf>
    <xf numFmtId="0" fontId="28" fillId="0" borderId="146" xfId="1" applyFont="1" applyFill="1" applyBorder="1" applyAlignment="1" applyProtection="1">
      <alignment horizontal="center" vertical="center" wrapText="1"/>
      <protection locked="0"/>
    </xf>
    <xf numFmtId="0" fontId="28" fillId="0" borderId="78" xfId="1" applyFont="1" applyFill="1" applyBorder="1" applyAlignment="1" applyProtection="1">
      <alignment horizontal="center" vertical="center" wrapText="1"/>
      <protection locked="0"/>
    </xf>
    <xf numFmtId="0" fontId="28" fillId="0" borderId="112" xfId="1" applyFont="1" applyFill="1" applyBorder="1" applyAlignment="1" applyProtection="1">
      <alignment horizontal="center" vertical="center" wrapText="1"/>
      <protection locked="0"/>
    </xf>
    <xf numFmtId="0" fontId="6" fillId="0" borderId="88" xfId="1" applyFont="1" applyFill="1" applyBorder="1" applyAlignment="1" applyProtection="1">
      <alignment horizontal="center" vertical="center"/>
      <protection locked="0"/>
    </xf>
    <xf numFmtId="0" fontId="6" fillId="0" borderId="92" xfId="1" applyFont="1" applyFill="1" applyBorder="1" applyAlignment="1" applyProtection="1">
      <alignment horizontal="center" vertical="center"/>
      <protection locked="0"/>
    </xf>
    <xf numFmtId="0" fontId="8" fillId="0" borderId="90" xfId="1" applyFont="1" applyBorder="1" applyAlignment="1" applyProtection="1">
      <alignment horizontal="center" vertical="center" wrapText="1"/>
      <protection locked="0"/>
    </xf>
    <xf numFmtId="0" fontId="8" fillId="0" borderId="27" xfId="1" applyFont="1" applyBorder="1" applyAlignment="1" applyProtection="1">
      <alignment horizontal="center" vertical="center" wrapText="1"/>
      <protection locked="0"/>
    </xf>
    <xf numFmtId="0" fontId="8" fillId="0" borderId="84" xfId="1" applyFont="1" applyBorder="1" applyAlignment="1" applyProtection="1">
      <alignment horizontal="center" vertical="center" wrapText="1"/>
      <protection locked="0"/>
    </xf>
    <xf numFmtId="0" fontId="12" fillId="0" borderId="77" xfId="1" applyFont="1" applyFill="1" applyBorder="1" applyAlignment="1" applyProtection="1">
      <alignment horizontal="left" vertical="center"/>
      <protection locked="0"/>
    </xf>
    <xf numFmtId="0" fontId="12" fillId="0" borderId="26" xfId="1" applyFont="1" applyFill="1" applyBorder="1" applyAlignment="1" applyProtection="1">
      <alignment horizontal="left" vertical="center"/>
      <protection locked="0"/>
    </xf>
    <xf numFmtId="0" fontId="28" fillId="0" borderId="129" xfId="1" applyFont="1" applyFill="1" applyBorder="1" applyAlignment="1" applyProtection="1">
      <alignment horizontal="center" vertical="center" wrapText="1"/>
      <protection locked="0"/>
    </xf>
    <xf numFmtId="0" fontId="28" fillId="0" borderId="88" xfId="1" applyFont="1" applyFill="1" applyBorder="1" applyAlignment="1" applyProtection="1">
      <alignment horizontal="center" vertical="center" wrapText="1"/>
      <protection locked="0"/>
    </xf>
    <xf numFmtId="0" fontId="28" fillId="0" borderId="92" xfId="1" applyFont="1" applyFill="1" applyBorder="1" applyAlignment="1" applyProtection="1">
      <alignment horizontal="center" vertical="center" wrapText="1"/>
      <protection locked="0"/>
    </xf>
    <xf numFmtId="0" fontId="28" fillId="0" borderId="23" xfId="1" applyFont="1" applyBorder="1" applyAlignment="1" applyProtection="1">
      <alignment horizontal="center" vertical="center" wrapText="1"/>
      <protection locked="0"/>
    </xf>
    <xf numFmtId="0" fontId="28" fillId="0" borderId="124" xfId="1" applyFont="1" applyBorder="1" applyAlignment="1" applyProtection="1">
      <alignment horizontal="center" vertical="center" wrapText="1"/>
      <protection locked="0"/>
    </xf>
    <xf numFmtId="0" fontId="28" fillId="0" borderId="85" xfId="1" applyFont="1" applyBorder="1" applyAlignment="1" applyProtection="1">
      <alignment horizontal="center" vertical="center" wrapText="1"/>
      <protection locked="0"/>
    </xf>
    <xf numFmtId="0" fontId="29" fillId="0" borderId="66" xfId="1" applyFont="1" applyFill="1" applyBorder="1" applyAlignment="1" applyProtection="1">
      <alignment horizontal="center" vertical="center" wrapText="1"/>
      <protection locked="0"/>
    </xf>
    <xf numFmtId="0" fontId="29" fillId="0" borderId="61" xfId="1" applyFont="1" applyFill="1" applyBorder="1" applyAlignment="1" applyProtection="1">
      <alignment horizontal="center" vertical="center" wrapText="1"/>
      <protection locked="0"/>
    </xf>
    <xf numFmtId="0" fontId="29" fillId="0" borderId="65" xfId="1" applyFont="1" applyFill="1" applyBorder="1" applyAlignment="1" applyProtection="1">
      <alignment horizontal="center" vertical="center" wrapText="1"/>
      <protection locked="0"/>
    </xf>
    <xf numFmtId="0" fontId="28" fillId="2" borderId="24" xfId="1" applyFont="1" applyFill="1" applyBorder="1" applyAlignment="1" applyProtection="1">
      <alignment horizontal="center" vertical="center" wrapText="1"/>
      <protection locked="0"/>
    </xf>
    <xf numFmtId="0" fontId="28" fillId="2" borderId="87" xfId="1" applyFont="1" applyFill="1" applyBorder="1" applyAlignment="1" applyProtection="1">
      <alignment horizontal="center" vertical="center" wrapText="1"/>
      <protection locked="0"/>
    </xf>
    <xf numFmtId="0" fontId="28" fillId="2" borderId="14" xfId="1" applyFont="1" applyFill="1" applyBorder="1" applyAlignment="1" applyProtection="1">
      <alignment horizontal="center" vertical="center" wrapText="1"/>
      <protection locked="0"/>
    </xf>
    <xf numFmtId="0" fontId="28" fillId="2" borderId="8" xfId="1" applyFont="1" applyFill="1" applyBorder="1" applyAlignment="1" applyProtection="1">
      <alignment horizontal="center" vertical="center" wrapText="1"/>
      <protection locked="0"/>
    </xf>
    <xf numFmtId="0" fontId="6" fillId="0" borderId="14" xfId="1" applyFont="1" applyBorder="1" applyAlignment="1">
      <alignment horizontal="left" vertical="center" wrapText="1"/>
    </xf>
    <xf numFmtId="0" fontId="6" fillId="0" borderId="2" xfId="1" applyFont="1" applyBorder="1" applyAlignment="1">
      <alignment horizontal="left" vertical="center" wrapText="1"/>
    </xf>
    <xf numFmtId="0" fontId="6" fillId="0" borderId="8" xfId="1" applyFont="1" applyBorder="1" applyAlignment="1">
      <alignment horizontal="left" vertical="center" wrapText="1"/>
    </xf>
    <xf numFmtId="0" fontId="28" fillId="0" borderId="13" xfId="1" applyFont="1" applyFill="1" applyBorder="1" applyAlignment="1" applyProtection="1">
      <alignment horizontal="center" vertical="center" wrapText="1"/>
      <protection locked="0"/>
    </xf>
    <xf numFmtId="0" fontId="28" fillId="0" borderId="16" xfId="1" applyFont="1" applyFill="1" applyBorder="1" applyAlignment="1" applyProtection="1">
      <alignment horizontal="center" vertical="center" wrapText="1"/>
      <protection locked="0"/>
    </xf>
    <xf numFmtId="0" fontId="28" fillId="0" borderId="18" xfId="1" applyFont="1" applyFill="1" applyBorder="1" applyAlignment="1" applyProtection="1">
      <alignment horizontal="center" vertical="center" wrapText="1"/>
      <protection locked="0"/>
    </xf>
    <xf numFmtId="0" fontId="28" fillId="0" borderId="79" xfId="1" applyFont="1" applyFill="1" applyBorder="1" applyAlignment="1" applyProtection="1">
      <alignment horizontal="center" vertical="center" wrapText="1"/>
      <protection locked="0"/>
    </xf>
    <xf numFmtId="0" fontId="12" fillId="0" borderId="13" xfId="1" applyFont="1" applyFill="1" applyBorder="1" applyAlignment="1" applyProtection="1">
      <alignment horizontal="left" vertical="center"/>
      <protection locked="0"/>
    </xf>
    <xf numFmtId="0" fontId="12" fillId="0" borderId="18" xfId="1" applyFont="1" applyFill="1" applyBorder="1" applyAlignment="1" applyProtection="1">
      <alignment horizontal="left" vertical="center"/>
      <protection locked="0"/>
    </xf>
    <xf numFmtId="0" fontId="37" fillId="0" borderId="0" xfId="0" applyFont="1" applyAlignment="1">
      <alignment horizontal="left" vertical="center" wrapText="1"/>
    </xf>
    <xf numFmtId="0" fontId="8" fillId="0" borderId="126" xfId="1" applyFont="1" applyFill="1" applyBorder="1" applyAlignment="1" applyProtection="1">
      <alignment horizontal="center" vertical="center" wrapText="1"/>
      <protection locked="0"/>
    </xf>
    <xf numFmtId="0" fontId="8" fillId="0" borderId="0" xfId="1" applyFont="1" applyFill="1" applyBorder="1" applyAlignment="1" applyProtection="1">
      <alignment horizontal="center" vertical="center" wrapText="1"/>
      <protection locked="0"/>
    </xf>
    <xf numFmtId="0" fontId="8" fillId="0" borderId="141" xfId="1" applyFont="1" applyFill="1" applyBorder="1" applyAlignment="1" applyProtection="1">
      <alignment horizontal="center" vertical="center" wrapText="1"/>
      <protection locked="0"/>
    </xf>
    <xf numFmtId="0" fontId="6" fillId="0" borderId="57" xfId="1" applyFont="1" applyBorder="1" applyAlignment="1">
      <alignment horizontal="left" vertical="center" wrapText="1"/>
    </xf>
    <xf numFmtId="0" fontId="6" fillId="0" borderId="30" xfId="1" applyFont="1" applyBorder="1" applyAlignment="1">
      <alignment horizontal="left" vertical="center" wrapText="1"/>
    </xf>
    <xf numFmtId="0" fontId="6" fillId="0" borderId="56" xfId="1" applyFont="1" applyBorder="1" applyAlignment="1">
      <alignment horizontal="left" vertical="center" wrapText="1"/>
    </xf>
    <xf numFmtId="0" fontId="6" fillId="0" borderId="158" xfId="1" applyFont="1" applyBorder="1" applyAlignment="1">
      <alignment horizontal="left" vertical="center" wrapText="1"/>
    </xf>
    <xf numFmtId="0" fontId="6" fillId="0" borderId="13" xfId="1" applyFont="1" applyBorder="1" applyAlignment="1" applyProtection="1">
      <alignment horizontal="left" vertical="center" wrapText="1"/>
      <protection locked="0"/>
    </xf>
    <xf numFmtId="0" fontId="6" fillId="0" borderId="18" xfId="1" applyFont="1" applyBorder="1" applyAlignment="1" applyProtection="1">
      <alignment horizontal="left" vertical="center" wrapText="1"/>
      <protection locked="0"/>
    </xf>
    <xf numFmtId="0" fontId="6" fillId="0" borderId="66" xfId="1" applyFont="1" applyBorder="1" applyAlignment="1">
      <alignment horizontal="center" vertical="center" wrapText="1"/>
    </xf>
    <xf numFmtId="0" fontId="6" fillId="0" borderId="101" xfId="1" applyFont="1" applyBorder="1" applyAlignment="1">
      <alignment horizontal="center" vertical="center" wrapText="1"/>
    </xf>
    <xf numFmtId="0" fontId="6" fillId="0" borderId="15" xfId="1" applyFont="1" applyBorder="1" applyAlignment="1">
      <alignment horizontal="center" vertical="center" wrapText="1"/>
    </xf>
    <xf numFmtId="0" fontId="6" fillId="0" borderId="89" xfId="1" applyFont="1" applyBorder="1" applyAlignment="1" applyProtection="1">
      <alignment horizontal="center" vertical="center" wrapText="1"/>
      <protection locked="0"/>
    </xf>
    <xf numFmtId="0" fontId="6" fillId="0" borderId="77" xfId="1" applyFont="1" applyBorder="1" applyAlignment="1" applyProtection="1">
      <alignment horizontal="center" vertical="center" wrapText="1"/>
      <protection locked="0"/>
    </xf>
    <xf numFmtId="0" fontId="8" fillId="0" borderId="4" xfId="1" applyFont="1" applyBorder="1" applyAlignment="1" applyProtection="1">
      <alignment horizontal="center" vertical="center"/>
      <protection locked="0"/>
    </xf>
    <xf numFmtId="0" fontId="8" fillId="0" borderId="5" xfId="1" applyFont="1" applyBorder="1" applyAlignment="1" applyProtection="1">
      <alignment horizontal="center" vertical="center"/>
      <protection locked="0"/>
    </xf>
    <xf numFmtId="0" fontId="8" fillId="0" borderId="6" xfId="1" applyFont="1" applyBorder="1" applyAlignment="1" applyProtection="1">
      <alignment horizontal="center" vertical="center"/>
      <protection locked="0"/>
    </xf>
    <xf numFmtId="0" fontId="12" fillId="0" borderId="2" xfId="1" applyFont="1" applyFill="1" applyBorder="1" applyAlignment="1" applyProtection="1">
      <alignment horizontal="left" vertical="center"/>
      <protection locked="0"/>
    </xf>
    <xf numFmtId="0" fontId="12" fillId="0" borderId="8" xfId="1" applyFont="1" applyFill="1" applyBorder="1" applyAlignment="1" applyProtection="1">
      <alignment horizontal="left" vertical="center"/>
      <protection locked="0"/>
    </xf>
    <xf numFmtId="0" fontId="6" fillId="0" borderId="129" xfId="1" applyFont="1" applyFill="1" applyBorder="1" applyAlignment="1" applyProtection="1">
      <alignment horizontal="center" vertical="center" wrapText="1"/>
      <protection locked="0"/>
    </xf>
    <xf numFmtId="0" fontId="6" fillId="0" borderId="88" xfId="1" applyFont="1" applyFill="1" applyBorder="1" applyAlignment="1" applyProtection="1">
      <alignment horizontal="center" vertical="center" wrapText="1"/>
      <protection locked="0"/>
    </xf>
    <xf numFmtId="0" fontId="6" fillId="0" borderId="92" xfId="1" applyFont="1" applyFill="1" applyBorder="1" applyAlignment="1" applyProtection="1">
      <alignment horizontal="center" vertical="center" wrapText="1"/>
      <protection locked="0"/>
    </xf>
    <xf numFmtId="0" fontId="35" fillId="0" borderId="0" xfId="1" applyFont="1" applyBorder="1" applyAlignment="1" applyProtection="1">
      <alignment horizontal="left" vertical="center" wrapText="1"/>
      <protection locked="0"/>
    </xf>
    <xf numFmtId="0" fontId="6" fillId="0" borderId="14" xfId="1" applyFont="1" applyBorder="1" applyAlignment="1">
      <alignment horizontal="center" vertical="center" wrapText="1"/>
    </xf>
    <xf numFmtId="0" fontId="8" fillId="0" borderId="141" xfId="1" applyFont="1" applyBorder="1" applyAlignment="1" applyProtection="1">
      <alignment horizontal="center" vertical="center"/>
      <protection locked="0"/>
    </xf>
    <xf numFmtId="0" fontId="61" fillId="0" borderId="0" xfId="0" applyFont="1" applyAlignment="1">
      <alignment horizontal="left" vertical="center" wrapText="1"/>
    </xf>
    <xf numFmtId="0" fontId="6" fillId="0" borderId="129" xfId="1" applyFont="1" applyFill="1" applyBorder="1" applyAlignment="1" applyProtection="1">
      <alignment horizontal="center" vertical="center"/>
      <protection locked="0"/>
    </xf>
    <xf numFmtId="0" fontId="28" fillId="0" borderId="91" xfId="1" applyFont="1" applyBorder="1" applyAlignment="1" applyProtection="1">
      <alignment horizontal="center" vertical="center"/>
      <protection locked="0"/>
    </xf>
    <xf numFmtId="0" fontId="28" fillId="0" borderId="126" xfId="1" applyFont="1" applyBorder="1" applyAlignment="1" applyProtection="1">
      <alignment horizontal="center" vertical="center"/>
      <protection locked="0"/>
    </xf>
    <xf numFmtId="0" fontId="28" fillId="0" borderId="146" xfId="1" applyFont="1" applyBorder="1" applyAlignment="1" applyProtection="1">
      <alignment horizontal="center" vertical="center"/>
      <protection locked="0"/>
    </xf>
    <xf numFmtId="0" fontId="28" fillId="0" borderId="95" xfId="1" applyFont="1" applyBorder="1" applyAlignment="1" applyProtection="1">
      <alignment horizontal="center" vertical="center"/>
      <protection locked="0"/>
    </xf>
    <xf numFmtId="0" fontId="28" fillId="0" borderId="0" xfId="1" applyFont="1" applyBorder="1" applyAlignment="1" applyProtection="1">
      <alignment horizontal="center" vertical="center"/>
      <protection locked="0"/>
    </xf>
    <xf numFmtId="0" fontId="28" fillId="0" borderId="49" xfId="1" applyFont="1" applyBorder="1" applyAlignment="1" applyProtection="1">
      <alignment horizontal="center" vertical="center"/>
      <protection locked="0"/>
    </xf>
    <xf numFmtId="0" fontId="28" fillId="0" borderId="130" xfId="1" applyFont="1" applyBorder="1" applyAlignment="1" applyProtection="1">
      <alignment horizontal="center" vertical="center"/>
      <protection locked="0"/>
    </xf>
    <xf numFmtId="0" fontId="28" fillId="0" borderId="141" xfId="1" applyFont="1" applyBorder="1" applyAlignment="1" applyProtection="1">
      <alignment horizontal="center" vertical="center"/>
      <protection locked="0"/>
    </xf>
    <xf numFmtId="0" fontId="28" fillId="0" borderId="20" xfId="1" applyFont="1" applyBorder="1" applyAlignment="1" applyProtection="1">
      <alignment horizontal="center" vertical="center"/>
      <protection locked="0"/>
    </xf>
    <xf numFmtId="0" fontId="6" fillId="0" borderId="13" xfId="1" applyFont="1" applyFill="1" applyBorder="1" applyAlignment="1" applyProtection="1">
      <alignment horizontal="left" vertical="center"/>
      <protection locked="0"/>
    </xf>
    <xf numFmtId="0" fontId="6" fillId="0" borderId="18" xfId="1" applyFont="1" applyFill="1" applyBorder="1" applyAlignment="1" applyProtection="1">
      <alignment horizontal="left" vertical="center"/>
      <protection locked="0"/>
    </xf>
    <xf numFmtId="0" fontId="6" fillId="0" borderId="50" xfId="1" applyFont="1" applyBorder="1" applyAlignment="1">
      <alignment horizontal="left" vertical="center" wrapText="1"/>
    </xf>
    <xf numFmtId="0" fontId="6" fillId="3" borderId="159" xfId="1" applyFont="1" applyFill="1" applyBorder="1" applyAlignment="1" applyProtection="1">
      <alignment horizontal="left" vertical="center" wrapText="1"/>
      <protection locked="0"/>
    </xf>
    <xf numFmtId="0" fontId="6" fillId="3" borderId="160" xfId="1" applyFont="1" applyFill="1" applyBorder="1" applyAlignment="1" applyProtection="1">
      <alignment horizontal="left" vertical="center" wrapText="1"/>
      <protection locked="0"/>
    </xf>
    <xf numFmtId="0" fontId="6" fillId="3" borderId="79" xfId="1" applyFont="1" applyFill="1" applyBorder="1" applyAlignment="1" applyProtection="1">
      <alignment horizontal="left" vertical="center" wrapText="1"/>
      <protection locked="0"/>
    </xf>
    <xf numFmtId="0" fontId="6" fillId="3" borderId="18" xfId="1" applyFont="1" applyFill="1" applyBorder="1" applyAlignment="1" applyProtection="1">
      <alignment horizontal="left" vertical="center" wrapText="1"/>
      <protection locked="0"/>
    </xf>
    <xf numFmtId="0" fontId="6" fillId="3" borderId="52" xfId="1" applyFont="1" applyFill="1" applyBorder="1" applyAlignment="1" applyProtection="1">
      <alignment horizontal="left" vertical="center" wrapText="1"/>
      <protection locked="0"/>
    </xf>
    <xf numFmtId="0" fontId="6" fillId="3" borderId="81" xfId="1" applyFont="1" applyFill="1" applyBorder="1" applyAlignment="1" applyProtection="1">
      <alignment horizontal="left" vertical="center" wrapText="1"/>
      <protection locked="0"/>
    </xf>
    <xf numFmtId="0" fontId="6" fillId="3" borderId="79" xfId="1" applyFont="1" applyFill="1" applyBorder="1" applyAlignment="1" applyProtection="1">
      <alignment vertical="center" wrapText="1"/>
      <protection locked="0"/>
    </xf>
    <xf numFmtId="0" fontId="6" fillId="3" borderId="18" xfId="1" applyFont="1" applyFill="1" applyBorder="1" applyAlignment="1" applyProtection="1">
      <alignment vertical="center" wrapText="1"/>
      <protection locked="0"/>
    </xf>
    <xf numFmtId="0" fontId="6" fillId="0" borderId="23" xfId="1" applyFont="1" applyBorder="1" applyAlignment="1" applyProtection="1">
      <alignment horizontal="center" vertical="center"/>
      <protection locked="0"/>
    </xf>
    <xf numFmtId="0" fontId="6" fillId="0" borderId="124" xfId="1" applyFont="1" applyBorder="1" applyAlignment="1" applyProtection="1">
      <alignment horizontal="center" vertical="center"/>
      <protection locked="0"/>
    </xf>
    <xf numFmtId="0" fontId="6" fillId="0" borderId="85" xfId="1" applyFont="1" applyBorder="1" applyAlignment="1" applyProtection="1">
      <alignment horizontal="center" vertical="center"/>
      <protection locked="0"/>
    </xf>
    <xf numFmtId="0" fontId="22" fillId="0" borderId="91" xfId="1" applyFont="1" applyBorder="1" applyAlignment="1" applyProtection="1">
      <alignment horizontal="center" vertical="center"/>
      <protection locked="0"/>
    </xf>
    <xf numFmtId="0" fontId="22" fillId="0" borderId="64" xfId="1" applyFont="1" applyBorder="1" applyAlignment="1" applyProtection="1">
      <alignment horizontal="center" vertical="center"/>
      <protection locked="0"/>
    </xf>
    <xf numFmtId="0" fontId="22" fillId="0" borderId="95" xfId="1" applyFont="1" applyBorder="1" applyAlignment="1" applyProtection="1">
      <alignment horizontal="center" vertical="center"/>
      <protection locked="0"/>
    </xf>
    <xf numFmtId="0" fontId="22" fillId="0" borderId="131" xfId="1" applyFont="1" applyBorder="1" applyAlignment="1" applyProtection="1">
      <alignment horizontal="center" vertical="center"/>
      <protection locked="0"/>
    </xf>
    <xf numFmtId="0" fontId="22" fillId="0" borderId="130" xfId="1" applyFont="1" applyBorder="1" applyAlignment="1" applyProtection="1">
      <alignment horizontal="center" vertical="center"/>
      <protection locked="0"/>
    </xf>
    <xf numFmtId="0" fontId="22" fillId="0" borderId="86" xfId="1" applyFont="1" applyBorder="1" applyAlignment="1" applyProtection="1">
      <alignment horizontal="center" vertical="center"/>
      <protection locked="0"/>
    </xf>
    <xf numFmtId="0" fontId="6" fillId="0" borderId="128" xfId="1" applyFont="1" applyBorder="1" applyAlignment="1" applyProtection="1">
      <alignment horizontal="center" vertical="center"/>
      <protection locked="0"/>
    </xf>
    <xf numFmtId="0" fontId="6" fillId="0" borderId="88" xfId="1" applyFont="1" applyBorder="1" applyAlignment="1" applyProtection="1">
      <alignment horizontal="center" vertical="center"/>
      <protection locked="0"/>
    </xf>
    <xf numFmtId="0" fontId="6" fillId="0" borderId="135" xfId="1" applyFont="1" applyBorder="1" applyAlignment="1" applyProtection="1">
      <alignment horizontal="center" vertical="center"/>
      <protection locked="0"/>
    </xf>
    <xf numFmtId="0" fontId="6" fillId="0" borderId="128" xfId="1" applyFont="1" applyBorder="1" applyAlignment="1" applyProtection="1">
      <alignment horizontal="center" vertical="center" wrapText="1"/>
      <protection locked="0"/>
    </xf>
    <xf numFmtId="0" fontId="6" fillId="0" borderId="92" xfId="1" applyFont="1" applyBorder="1" applyAlignment="1" applyProtection="1">
      <alignment horizontal="center" vertical="center" wrapText="1"/>
      <protection locked="0"/>
    </xf>
    <xf numFmtId="0" fontId="6" fillId="0" borderId="80" xfId="1" applyFont="1" applyFill="1" applyBorder="1" applyAlignment="1" applyProtection="1">
      <alignment horizontal="center" vertical="center"/>
      <protection locked="0"/>
    </xf>
    <xf numFmtId="0" fontId="87" fillId="0" borderId="22" xfId="6" applyBorder="1" applyAlignment="1">
      <alignment horizontal="center" vertical="center"/>
    </xf>
    <xf numFmtId="0" fontId="6" fillId="0" borderId="30" xfId="1" applyFont="1" applyBorder="1" applyAlignment="1" applyProtection="1">
      <alignment horizontal="center" vertical="center"/>
      <protection locked="0"/>
    </xf>
    <xf numFmtId="0" fontId="6" fillId="0" borderId="77" xfId="1" applyFont="1" applyBorder="1" applyAlignment="1" applyProtection="1">
      <alignment horizontal="center" vertical="center"/>
      <protection locked="0"/>
    </xf>
    <xf numFmtId="2" fontId="6" fillId="0" borderId="30" xfId="1" applyNumberFormat="1" applyFont="1" applyBorder="1" applyAlignment="1" applyProtection="1">
      <alignment horizontal="center" vertical="center" wrapText="1"/>
      <protection locked="0"/>
    </xf>
    <xf numFmtId="2" fontId="6" fillId="0" borderId="77" xfId="1" applyNumberFormat="1" applyFont="1" applyBorder="1" applyAlignment="1" applyProtection="1">
      <alignment horizontal="center" vertical="center" wrapText="1"/>
      <protection locked="0"/>
    </xf>
    <xf numFmtId="0" fontId="6" fillId="0" borderId="49" xfId="1" applyFont="1" applyBorder="1" applyAlignment="1" applyProtection="1">
      <alignment horizontal="center" vertical="center" wrapText="1"/>
      <protection locked="0"/>
    </xf>
    <xf numFmtId="0" fontId="6" fillId="0" borderId="112" xfId="1" applyFont="1" applyBorder="1" applyAlignment="1" applyProtection="1">
      <alignment horizontal="center" vertical="center" wrapText="1"/>
      <protection locked="0"/>
    </xf>
    <xf numFmtId="0" fontId="28" fillId="0" borderId="0" xfId="1" applyFont="1" applyFill="1" applyAlignment="1">
      <alignment horizontal="left" vertical="center" wrapText="1"/>
    </xf>
    <xf numFmtId="0" fontId="28" fillId="0" borderId="65" xfId="1" applyFont="1" applyBorder="1" applyAlignment="1" applyProtection="1">
      <alignment horizontal="center" vertical="center" wrapText="1"/>
      <protection locked="0"/>
    </xf>
    <xf numFmtId="0" fontId="28" fillId="0" borderId="125" xfId="1" applyFont="1" applyBorder="1" applyAlignment="1" applyProtection="1">
      <alignment horizontal="center" vertical="center" wrapText="1"/>
      <protection locked="0"/>
    </xf>
    <xf numFmtId="0" fontId="28" fillId="0" borderId="26" xfId="1" applyFont="1" applyBorder="1" applyAlignment="1" applyProtection="1">
      <alignment horizontal="center" vertical="center" wrapText="1"/>
      <protection locked="0"/>
    </xf>
    <xf numFmtId="0" fontId="28" fillId="0" borderId="129" xfId="1" applyFont="1" applyBorder="1" applyAlignment="1" applyProtection="1">
      <alignment horizontal="center" vertical="center" wrapText="1"/>
      <protection locked="0"/>
    </xf>
    <xf numFmtId="0" fontId="28" fillId="0" borderId="88" xfId="1" applyFont="1" applyBorder="1" applyAlignment="1" applyProtection="1">
      <alignment horizontal="center" vertical="center"/>
      <protection locked="0"/>
    </xf>
    <xf numFmtId="0" fontId="28" fillId="0" borderId="92" xfId="1" applyFont="1" applyBorder="1" applyAlignment="1" applyProtection="1">
      <alignment horizontal="center" vertical="center"/>
      <protection locked="0"/>
    </xf>
    <xf numFmtId="0" fontId="28" fillId="0" borderId="79" xfId="1" applyFont="1" applyBorder="1" applyAlignment="1" applyProtection="1">
      <alignment horizontal="center" vertical="center" wrapText="1"/>
      <protection locked="0"/>
    </xf>
    <xf numFmtId="0" fontId="28" fillId="0" borderId="50" xfId="1" applyFont="1" applyBorder="1" applyAlignment="1" applyProtection="1">
      <alignment horizontal="center" vertical="center" wrapText="1"/>
      <protection locked="0"/>
    </xf>
    <xf numFmtId="0" fontId="28" fillId="0" borderId="2" xfId="1" applyFont="1" applyBorder="1" applyAlignment="1" applyProtection="1">
      <alignment horizontal="center" vertical="center"/>
      <protection locked="0"/>
    </xf>
    <xf numFmtId="0" fontId="6" fillId="0" borderId="49" xfId="1" applyFont="1" applyFill="1" applyBorder="1" applyAlignment="1" applyProtection="1">
      <alignment horizontal="center" vertical="center" wrapText="1"/>
      <protection locked="0"/>
    </xf>
    <xf numFmtId="0" fontId="6" fillId="0" borderId="112" xfId="1" applyFont="1" applyFill="1" applyBorder="1" applyAlignment="1" applyProtection="1">
      <alignment horizontal="center" vertical="center" wrapText="1"/>
      <protection locked="0"/>
    </xf>
    <xf numFmtId="0" fontId="6" fillId="0" borderId="101" xfId="1" applyFont="1" applyFill="1" applyBorder="1" applyAlignment="1" applyProtection="1">
      <alignment horizontal="center" vertical="center" wrapText="1"/>
      <protection locked="0"/>
    </xf>
    <xf numFmtId="0" fontId="6" fillId="0" borderId="15" xfId="1" applyFont="1" applyFill="1" applyBorder="1" applyAlignment="1" applyProtection="1">
      <alignment horizontal="center" vertical="center" wrapText="1"/>
      <protection locked="0"/>
    </xf>
    <xf numFmtId="0" fontId="6" fillId="0" borderId="65" xfId="1" applyFont="1" applyBorder="1" applyAlignment="1" applyProtection="1">
      <alignment horizontal="center" vertical="center" wrapText="1"/>
      <protection locked="0"/>
    </xf>
    <xf numFmtId="0" fontId="6" fillId="0" borderId="125" xfId="1" applyFont="1" applyBorder="1" applyAlignment="1" applyProtection="1">
      <alignment horizontal="center" vertical="center" wrapText="1"/>
      <protection locked="0"/>
    </xf>
    <xf numFmtId="0" fontId="6" fillId="0" borderId="26" xfId="1" applyFont="1" applyBorder="1" applyAlignment="1" applyProtection="1">
      <alignment horizontal="center" vertical="center" wrapText="1"/>
      <protection locked="0"/>
    </xf>
    <xf numFmtId="0" fontId="6" fillId="0" borderId="129" xfId="1" applyFont="1" applyBorder="1" applyAlignment="1" applyProtection="1">
      <alignment horizontal="center" vertical="center" wrapText="1"/>
      <protection locked="0"/>
    </xf>
    <xf numFmtId="0" fontId="6" fillId="0" borderId="92" xfId="1" applyFont="1" applyBorder="1" applyAlignment="1" applyProtection="1">
      <alignment horizontal="center" vertical="center"/>
      <protection locked="0"/>
    </xf>
    <xf numFmtId="0" fontId="6" fillId="0" borderId="79" xfId="1" applyFont="1" applyBorder="1" applyAlignment="1" applyProtection="1">
      <alignment horizontal="center" vertical="center" wrapText="1"/>
      <protection locked="0"/>
    </xf>
    <xf numFmtId="0" fontId="6" fillId="0" borderId="50" xfId="1" applyFont="1" applyBorder="1" applyAlignment="1" applyProtection="1">
      <alignment horizontal="center" vertical="center" wrapText="1"/>
      <protection locked="0"/>
    </xf>
    <xf numFmtId="0" fontId="6" fillId="0" borderId="16" xfId="1" applyFont="1" applyBorder="1" applyAlignment="1" applyProtection="1">
      <alignment horizontal="center" vertical="center" wrapText="1"/>
      <protection locked="0"/>
    </xf>
    <xf numFmtId="0" fontId="6" fillId="0" borderId="66" xfId="1" applyFont="1" applyBorder="1" applyAlignment="1">
      <alignment horizontal="center" vertical="center"/>
    </xf>
    <xf numFmtId="0" fontId="6" fillId="0" borderId="101" xfId="1" applyFont="1" applyBorder="1" applyAlignment="1">
      <alignment horizontal="center" vertical="center"/>
    </xf>
    <xf numFmtId="0" fontId="6" fillId="0" borderId="17" xfId="1" applyFont="1" applyBorder="1" applyAlignment="1">
      <alignment horizontal="center" vertical="center"/>
    </xf>
    <xf numFmtId="0" fontId="6" fillId="0" borderId="50" xfId="1" applyFont="1" applyBorder="1" applyAlignment="1" applyProtection="1">
      <alignment horizontal="center" vertical="center"/>
      <protection locked="0"/>
    </xf>
    <xf numFmtId="0" fontId="6" fillId="0" borderId="18" xfId="1" applyFont="1" applyBorder="1" applyAlignment="1" applyProtection="1">
      <alignment horizontal="center" vertical="center"/>
      <protection locked="0"/>
    </xf>
    <xf numFmtId="0" fontId="8" fillId="0" borderId="25"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8" fillId="0" borderId="30" xfId="1" applyFont="1" applyFill="1" applyBorder="1" applyAlignment="1">
      <alignment horizontal="center" vertical="center" wrapText="1"/>
    </xf>
    <xf numFmtId="0" fontId="6" fillId="3" borderId="91" xfId="1" applyFont="1" applyFill="1" applyBorder="1" applyAlignment="1">
      <alignment horizontal="center" vertical="center" wrapText="1"/>
    </xf>
    <xf numFmtId="0" fontId="6" fillId="3" borderId="95" xfId="1" applyFont="1" applyFill="1" applyBorder="1" applyAlignment="1">
      <alignment horizontal="center" vertical="center" wrapText="1"/>
    </xf>
    <xf numFmtId="0" fontId="6" fillId="0" borderId="25" xfId="1" applyFont="1" applyFill="1" applyBorder="1" applyAlignment="1">
      <alignment horizontal="center" vertical="center"/>
    </xf>
    <xf numFmtId="0" fontId="6" fillId="0" borderId="65" xfId="1" applyFont="1" applyBorder="1" applyAlignment="1" applyProtection="1">
      <alignment vertical="center" wrapText="1"/>
      <protection locked="0"/>
    </xf>
    <xf numFmtId="0" fontId="0" fillId="0" borderId="125" xfId="0" applyBorder="1" applyAlignment="1">
      <alignment vertical="center" wrapText="1"/>
    </xf>
    <xf numFmtId="0" fontId="68" fillId="16" borderId="61" xfId="1" applyFont="1" applyFill="1" applyBorder="1" applyAlignment="1">
      <alignment horizontal="center" vertical="center" wrapText="1"/>
    </xf>
    <xf numFmtId="0" fontId="68" fillId="16" borderId="113" xfId="1" applyFont="1" applyFill="1" applyBorder="1" applyAlignment="1">
      <alignment horizontal="center" vertical="center" wrapText="1"/>
    </xf>
    <xf numFmtId="0" fontId="6" fillId="0" borderId="24" xfId="1" applyFont="1" applyBorder="1" applyAlignment="1" applyProtection="1">
      <alignment horizontal="center" vertical="center"/>
      <protection locked="0"/>
    </xf>
    <xf numFmtId="0" fontId="6" fillId="0" borderId="14" xfId="1" applyFont="1" applyBorder="1" applyAlignment="1" applyProtection="1">
      <alignment horizontal="center" vertical="center"/>
      <protection locked="0"/>
    </xf>
    <xf numFmtId="0" fontId="6" fillId="0" borderId="7" xfId="1" applyFont="1" applyBorder="1" applyAlignment="1" applyProtection="1">
      <alignment horizontal="center" vertical="center"/>
      <protection locked="0"/>
    </xf>
    <xf numFmtId="0" fontId="6" fillId="0" borderId="82" xfId="1" applyFont="1" applyBorder="1" applyAlignment="1" applyProtection="1">
      <alignment horizontal="left" vertical="center"/>
      <protection locked="0"/>
    </xf>
    <xf numFmtId="0" fontId="6" fillId="0" borderId="31" xfId="1" applyFont="1" applyBorder="1" applyAlignment="1" applyProtection="1">
      <alignment horizontal="left" vertical="center"/>
      <protection locked="0"/>
    </xf>
    <xf numFmtId="0" fontId="6" fillId="0" borderId="19" xfId="1" applyFont="1" applyBorder="1" applyAlignment="1" applyProtection="1">
      <alignment horizontal="left" vertical="center"/>
      <protection locked="0"/>
    </xf>
    <xf numFmtId="0" fontId="6" fillId="0" borderId="66" xfId="1" applyFont="1" applyFill="1" applyBorder="1" applyAlignment="1" applyProtection="1">
      <alignment horizontal="left" vertical="center"/>
      <protection locked="0"/>
    </xf>
    <xf numFmtId="0" fontId="6" fillId="0" borderId="101" xfId="1" applyFont="1" applyFill="1" applyBorder="1" applyAlignment="1" applyProtection="1">
      <alignment horizontal="left" vertical="center"/>
      <protection locked="0"/>
    </xf>
    <xf numFmtId="0" fontId="6" fillId="0" borderId="101" xfId="1" applyFont="1" applyBorder="1" applyAlignment="1">
      <alignment horizontal="left" vertical="center"/>
    </xf>
    <xf numFmtId="0" fontId="6" fillId="0" borderId="17" xfId="1" applyFont="1" applyBorder="1" applyAlignment="1">
      <alignment horizontal="left" vertical="center"/>
    </xf>
    <xf numFmtId="0" fontId="12" fillId="0" borderId="82" xfId="1" applyFont="1" applyBorder="1" applyAlignment="1" applyProtection="1">
      <alignment horizontal="left" vertical="center" wrapText="1"/>
      <protection locked="0"/>
    </xf>
    <xf numFmtId="0" fontId="12" fillId="0" borderId="31" xfId="1" applyFont="1" applyBorder="1" applyAlignment="1" applyProtection="1">
      <alignment horizontal="left" vertical="center" wrapText="1"/>
      <protection locked="0"/>
    </xf>
    <xf numFmtId="0" fontId="6" fillId="0" borderId="15" xfId="1" applyFont="1" applyBorder="1" applyAlignment="1" applyProtection="1">
      <alignment horizontal="center" vertical="center"/>
      <protection locked="0"/>
    </xf>
    <xf numFmtId="0" fontId="6" fillId="0" borderId="101" xfId="1" applyFont="1" applyBorder="1" applyAlignment="1">
      <alignment vertical="center"/>
    </xf>
    <xf numFmtId="0" fontId="6" fillId="0" borderId="17" xfId="1" applyFont="1" applyBorder="1" applyAlignment="1">
      <alignment vertical="center"/>
    </xf>
    <xf numFmtId="0" fontId="6" fillId="0" borderId="66" xfId="1" applyFont="1" applyFill="1" applyBorder="1" applyAlignment="1" applyProtection="1">
      <alignment horizontal="center" vertical="center"/>
      <protection locked="0"/>
    </xf>
    <xf numFmtId="0" fontId="6" fillId="0" borderId="101" xfId="1" applyFont="1" applyFill="1" applyBorder="1" applyAlignment="1" applyProtection="1">
      <alignment horizontal="center" vertical="center"/>
      <protection locked="0"/>
    </xf>
    <xf numFmtId="0" fontId="6" fillId="0" borderId="17" xfId="1" applyFont="1" applyFill="1" applyBorder="1" applyAlignment="1" applyProtection="1">
      <alignment horizontal="center" vertical="center"/>
      <protection locked="0"/>
    </xf>
    <xf numFmtId="0" fontId="6" fillId="0" borderId="129" xfId="1" applyFont="1" applyBorder="1" applyAlignment="1" applyProtection="1">
      <alignment horizontal="center" vertical="center"/>
      <protection locked="0"/>
    </xf>
    <xf numFmtId="0" fontId="6" fillId="0" borderId="79" xfId="1" applyFont="1" applyBorder="1" applyAlignment="1" applyProtection="1">
      <alignment horizontal="center" vertical="center"/>
      <protection locked="0"/>
    </xf>
    <xf numFmtId="0" fontId="6" fillId="0" borderId="147" xfId="1" applyFont="1" applyBorder="1" applyAlignment="1" applyProtection="1">
      <alignment horizontal="center" vertical="center"/>
      <protection locked="0"/>
    </xf>
    <xf numFmtId="0" fontId="6" fillId="0" borderId="91" xfId="1" applyFont="1" applyBorder="1" applyAlignment="1" applyProtection="1">
      <alignment horizontal="center" vertical="center"/>
      <protection locked="0"/>
    </xf>
    <xf numFmtId="0" fontId="6" fillId="0" borderId="95" xfId="1" applyFont="1" applyBorder="1" applyAlignment="1" applyProtection="1">
      <alignment horizontal="center" vertical="center"/>
      <protection locked="0"/>
    </xf>
    <xf numFmtId="0" fontId="6" fillId="0" borderId="130" xfId="1" applyFont="1" applyBorder="1" applyAlignment="1" applyProtection="1">
      <alignment horizontal="center" vertical="center"/>
      <protection locked="0"/>
    </xf>
    <xf numFmtId="0" fontId="13" fillId="0" borderId="0" xfId="0" applyFont="1" applyFill="1" applyAlignment="1">
      <alignment vertical="center"/>
    </xf>
    <xf numFmtId="3" fontId="8" fillId="0" borderId="2" xfId="1" applyNumberFormat="1" applyFont="1" applyFill="1" applyBorder="1" applyAlignment="1">
      <alignment horizontal="right" vertical="center"/>
    </xf>
    <xf numFmtId="3" fontId="8" fillId="0" borderId="53" xfId="1" applyNumberFormat="1" applyFont="1" applyFill="1" applyBorder="1" applyAlignment="1">
      <alignment horizontal="right" vertical="center"/>
    </xf>
    <xf numFmtId="3" fontId="8" fillId="0" borderId="166" xfId="1" applyNumberFormat="1" applyFont="1" applyFill="1" applyBorder="1" applyAlignment="1">
      <alignment horizontal="right" vertical="center"/>
    </xf>
    <xf numFmtId="3" fontId="8" fillId="0" borderId="8" xfId="1" applyNumberFormat="1" applyFont="1" applyFill="1" applyBorder="1" applyAlignment="1">
      <alignment horizontal="right" vertical="center"/>
    </xf>
    <xf numFmtId="3" fontId="8" fillId="0" borderId="14" xfId="1" applyNumberFormat="1" applyFont="1" applyFill="1" applyBorder="1" applyAlignment="1">
      <alignment horizontal="right" vertical="center"/>
    </xf>
  </cellXfs>
  <cellStyles count="7">
    <cellStyle name="Normální" xfId="0" builtinId="0"/>
    <cellStyle name="normální 2" xfId="1"/>
    <cellStyle name="normální 2 2" xfId="2"/>
    <cellStyle name="normální 3" xfId="3"/>
    <cellStyle name="Normální 3 2" xfId="6"/>
    <cellStyle name="normální_Konečná verze NOVYKAZY" xfId="4"/>
    <cellStyle name="normální_tabulka do výroční zprávy rozboru hospodaření"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2101473</xdr:colOff>
      <xdr:row>42</xdr:row>
      <xdr:rowOff>147945</xdr:rowOff>
    </xdr:from>
    <xdr:ext cx="4785953" cy="264560"/>
    <xdr:sp macro="" textlink="">
      <xdr:nvSpPr>
        <xdr:cNvPr id="2" name="TextovéPole 1"/>
        <xdr:cNvSpPr txBox="1"/>
      </xdr:nvSpPr>
      <xdr:spPr>
        <a:xfrm rot="10597951">
          <a:off x="2930148" y="8091795"/>
          <a:ext cx="478595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cs-CZ"/>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123825</xdr:rowOff>
    </xdr:from>
    <xdr:to>
      <xdr:col>0</xdr:col>
      <xdr:colOff>0</xdr:colOff>
      <xdr:row>29</xdr:row>
      <xdr:rowOff>0</xdr:rowOff>
    </xdr:to>
    <xdr:sp macro="" textlink="">
      <xdr:nvSpPr>
        <xdr:cNvPr id="14851" name="Line 1"/>
        <xdr:cNvSpPr>
          <a:spLocks noChangeShapeType="1"/>
        </xdr:cNvSpPr>
      </xdr:nvSpPr>
      <xdr:spPr bwMode="auto">
        <a:xfrm>
          <a:off x="0" y="466725"/>
          <a:ext cx="0" cy="4333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xdr:row>
      <xdr:rowOff>85725</xdr:rowOff>
    </xdr:from>
    <xdr:to>
      <xdr:col>0</xdr:col>
      <xdr:colOff>0</xdr:colOff>
      <xdr:row>29</xdr:row>
      <xdr:rowOff>0</xdr:rowOff>
    </xdr:to>
    <xdr:sp macro="" textlink="">
      <xdr:nvSpPr>
        <xdr:cNvPr id="14852" name="Line 2"/>
        <xdr:cNvSpPr>
          <a:spLocks noChangeShapeType="1"/>
        </xdr:cNvSpPr>
      </xdr:nvSpPr>
      <xdr:spPr bwMode="auto">
        <a:xfrm flipV="1">
          <a:off x="0" y="428625"/>
          <a:ext cx="0" cy="43719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odklady/Svoboda/Z&#225;kladn&#237;%20tabulka%20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řešitel"/>
      <sheetName val="spoluřešitel"/>
      <sheetName val="5.d"/>
      <sheetName val="magion"/>
      <sheetName val="Vratka - partnerské "/>
      <sheetName val="List1"/>
    </sheetNames>
    <sheetDataSet>
      <sheetData sheetId="0"/>
      <sheetData sheetId="1"/>
      <sheetData sheetId="2">
        <row r="9">
          <cell r="H9">
            <v>0</v>
          </cell>
          <cell r="J9">
            <v>0</v>
          </cell>
          <cell r="N9">
            <v>0</v>
          </cell>
          <cell r="P9">
            <v>0</v>
          </cell>
          <cell r="R9">
            <v>0</v>
          </cell>
          <cell r="U9">
            <v>0</v>
          </cell>
          <cell r="V9">
            <v>0</v>
          </cell>
          <cell r="X9">
            <v>0</v>
          </cell>
          <cell r="Y9">
            <v>0</v>
          </cell>
          <cell r="AA9">
            <v>0</v>
          </cell>
          <cell r="AB9">
            <v>0</v>
          </cell>
        </row>
        <row r="10">
          <cell r="H10">
            <v>19498.731289999996</v>
          </cell>
          <cell r="J10">
            <v>0</v>
          </cell>
          <cell r="N10">
            <v>8618.9790299999986</v>
          </cell>
          <cell r="P10">
            <v>3700</v>
          </cell>
          <cell r="R10">
            <v>0</v>
          </cell>
          <cell r="U10">
            <v>18648.38004</v>
          </cell>
          <cell r="V10">
            <v>0</v>
          </cell>
          <cell r="X10">
            <v>18648.38004</v>
          </cell>
          <cell r="Y10">
            <v>0</v>
          </cell>
          <cell r="AA10">
            <v>0</v>
          </cell>
          <cell r="AB10">
            <v>0</v>
          </cell>
        </row>
        <row r="12">
          <cell r="H12">
            <v>3336.1635099999994</v>
          </cell>
          <cell r="J12">
            <v>-126.5</v>
          </cell>
          <cell r="N12">
            <v>0</v>
          </cell>
          <cell r="P12">
            <v>2807.7320099999997</v>
          </cell>
          <cell r="R12">
            <v>6.495999999999999E-2</v>
          </cell>
          <cell r="U12">
            <v>1354.3166500000002</v>
          </cell>
          <cell r="V12">
            <v>70</v>
          </cell>
          <cell r="X12">
            <v>1354.3166500000002</v>
          </cell>
          <cell r="Y12">
            <v>70</v>
          </cell>
          <cell r="AA12">
            <v>0</v>
          </cell>
          <cell r="AB12">
            <v>0</v>
          </cell>
        </row>
        <row r="13">
          <cell r="H13">
            <v>16283.93528</v>
          </cell>
          <cell r="J13">
            <v>0</v>
          </cell>
          <cell r="N13">
            <v>0</v>
          </cell>
          <cell r="P13">
            <v>946.39277000000004</v>
          </cell>
          <cell r="R13">
            <v>0</v>
          </cell>
          <cell r="U13">
            <v>8960.1863899999989</v>
          </cell>
          <cell r="V13">
            <v>0</v>
          </cell>
          <cell r="X13">
            <v>8269.5892299999996</v>
          </cell>
          <cell r="Y13">
            <v>0</v>
          </cell>
          <cell r="AA13">
            <v>690.59715999999935</v>
          </cell>
          <cell r="AB13">
            <v>0</v>
          </cell>
        </row>
        <row r="14">
          <cell r="H14">
            <v>0</v>
          </cell>
          <cell r="J14">
            <v>0</v>
          </cell>
          <cell r="N14">
            <v>0</v>
          </cell>
          <cell r="P14">
            <v>0</v>
          </cell>
          <cell r="R14">
            <v>0</v>
          </cell>
          <cell r="U14">
            <v>0</v>
          </cell>
          <cell r="V14">
            <v>0</v>
          </cell>
          <cell r="X14">
            <v>0</v>
          </cell>
          <cell r="Y14">
            <v>0</v>
          </cell>
          <cell r="AA14">
            <v>0</v>
          </cell>
          <cell r="AB14">
            <v>0</v>
          </cell>
        </row>
        <row r="15">
          <cell r="H15">
            <v>2.3789799999999999</v>
          </cell>
          <cell r="J15">
            <v>0</v>
          </cell>
          <cell r="N15">
            <v>0</v>
          </cell>
          <cell r="P15">
            <v>0</v>
          </cell>
          <cell r="R15">
            <v>0</v>
          </cell>
          <cell r="U15">
            <v>0</v>
          </cell>
          <cell r="V15">
            <v>0</v>
          </cell>
          <cell r="X15">
            <v>0</v>
          </cell>
          <cell r="Y15">
            <v>0</v>
          </cell>
          <cell r="AA15">
            <v>0</v>
          </cell>
          <cell r="AB15">
            <v>0</v>
          </cell>
        </row>
        <row r="18">
          <cell r="H18">
            <v>13478.484380000002</v>
          </cell>
          <cell r="J18">
            <v>0</v>
          </cell>
          <cell r="N18">
            <v>0</v>
          </cell>
          <cell r="P18">
            <v>0</v>
          </cell>
          <cell r="R18">
            <v>0.21273</v>
          </cell>
          <cell r="U18">
            <v>14240.056050000001</v>
          </cell>
          <cell r="V18">
            <v>0</v>
          </cell>
          <cell r="X18">
            <v>0</v>
          </cell>
          <cell r="Y18">
            <v>0</v>
          </cell>
          <cell r="AA18">
            <v>14240.056050000001</v>
          </cell>
          <cell r="AB18">
            <v>0</v>
          </cell>
        </row>
        <row r="20">
          <cell r="H20">
            <v>0</v>
          </cell>
          <cell r="J20">
            <v>6862.0263399999994</v>
          </cell>
          <cell r="N20">
            <v>0</v>
          </cell>
          <cell r="P20">
            <v>0</v>
          </cell>
          <cell r="R20">
            <v>0</v>
          </cell>
          <cell r="U20">
            <v>0</v>
          </cell>
          <cell r="V20">
            <v>0</v>
          </cell>
          <cell r="X20">
            <v>0</v>
          </cell>
          <cell r="Y20">
            <v>0</v>
          </cell>
          <cell r="AA20">
            <v>0</v>
          </cell>
          <cell r="AB20">
            <v>0</v>
          </cell>
        </row>
        <row r="22">
          <cell r="H22">
            <v>4.6721599999999999</v>
          </cell>
          <cell r="J22">
            <v>1683.25036</v>
          </cell>
          <cell r="N22">
            <v>0</v>
          </cell>
          <cell r="P22">
            <v>0</v>
          </cell>
          <cell r="R22">
            <v>0</v>
          </cell>
          <cell r="U22">
            <v>0</v>
          </cell>
          <cell r="V22">
            <v>1903.23883</v>
          </cell>
          <cell r="X22">
            <v>0</v>
          </cell>
          <cell r="Y22">
            <v>1903.23883</v>
          </cell>
          <cell r="AA22">
            <v>0</v>
          </cell>
          <cell r="AB22">
            <v>0</v>
          </cell>
        </row>
        <row r="27">
          <cell r="H27">
            <v>115.70165</v>
          </cell>
          <cell r="J27">
            <v>0</v>
          </cell>
          <cell r="N27">
            <v>0</v>
          </cell>
          <cell r="P27">
            <v>9.5500000000000012E-3</v>
          </cell>
          <cell r="R27">
            <v>0</v>
          </cell>
          <cell r="U27">
            <v>236.79115999999996</v>
          </cell>
          <cell r="V27">
            <v>0</v>
          </cell>
          <cell r="X27">
            <v>0</v>
          </cell>
          <cell r="Y27">
            <v>0</v>
          </cell>
          <cell r="AA27">
            <v>236.79115999999996</v>
          </cell>
          <cell r="AB27">
            <v>0</v>
          </cell>
        </row>
        <row r="29">
          <cell r="H29">
            <v>41.220739999999999</v>
          </cell>
          <cell r="J29">
            <v>0</v>
          </cell>
          <cell r="N29">
            <v>0</v>
          </cell>
          <cell r="P29">
            <v>0</v>
          </cell>
          <cell r="R29">
            <v>0</v>
          </cell>
          <cell r="U29">
            <v>156.76660000000001</v>
          </cell>
          <cell r="V29">
            <v>0</v>
          </cell>
          <cell r="X29">
            <v>0</v>
          </cell>
          <cell r="Y29">
            <v>0</v>
          </cell>
          <cell r="AA29">
            <v>156.76660000000001</v>
          </cell>
          <cell r="AB29">
            <v>0</v>
          </cell>
        </row>
        <row r="33">
          <cell r="H33">
            <v>0</v>
          </cell>
          <cell r="J33">
            <v>968.14797999999996</v>
          </cell>
          <cell r="N33">
            <v>0</v>
          </cell>
          <cell r="P33">
            <v>0</v>
          </cell>
          <cell r="R33">
            <v>0</v>
          </cell>
          <cell r="U33">
            <v>0</v>
          </cell>
          <cell r="V33">
            <v>0</v>
          </cell>
          <cell r="X33">
            <v>0</v>
          </cell>
          <cell r="Y33">
            <v>0</v>
          </cell>
          <cell r="AA33">
            <v>0</v>
          </cell>
          <cell r="AB33">
            <v>0</v>
          </cell>
        </row>
        <row r="38">
          <cell r="H38">
            <v>0</v>
          </cell>
          <cell r="J38">
            <v>0</v>
          </cell>
          <cell r="N38">
            <v>0</v>
          </cell>
          <cell r="P38">
            <v>0</v>
          </cell>
          <cell r="R38">
            <v>0</v>
          </cell>
          <cell r="U38">
            <v>0</v>
          </cell>
          <cell r="V38">
            <v>0</v>
          </cell>
          <cell r="X38">
            <v>0</v>
          </cell>
          <cell r="Y38">
            <v>0</v>
          </cell>
          <cell r="AA38">
            <v>0</v>
          </cell>
          <cell r="AB38">
            <v>0</v>
          </cell>
        </row>
        <row r="39">
          <cell r="H39">
            <v>0</v>
          </cell>
          <cell r="J39">
            <v>0</v>
          </cell>
          <cell r="N39">
            <v>0</v>
          </cell>
          <cell r="P39">
            <v>0</v>
          </cell>
          <cell r="R39">
            <v>0</v>
          </cell>
          <cell r="U39">
            <v>0</v>
          </cell>
          <cell r="V39">
            <v>0</v>
          </cell>
          <cell r="X39">
            <v>0</v>
          </cell>
          <cell r="Y39">
            <v>0</v>
          </cell>
          <cell r="AA39">
            <v>0</v>
          </cell>
          <cell r="AB39">
            <v>0</v>
          </cell>
        </row>
        <row r="40">
          <cell r="H40">
            <v>0</v>
          </cell>
          <cell r="J40">
            <v>0</v>
          </cell>
          <cell r="N40">
            <v>0</v>
          </cell>
          <cell r="P40">
            <v>0</v>
          </cell>
          <cell r="R40">
            <v>0</v>
          </cell>
          <cell r="U40">
            <v>0</v>
          </cell>
          <cell r="V40">
            <v>0</v>
          </cell>
          <cell r="X40">
            <v>0</v>
          </cell>
          <cell r="Y40">
            <v>0</v>
          </cell>
          <cell r="AA40">
            <v>0</v>
          </cell>
          <cell r="AB40">
            <v>0</v>
          </cell>
        </row>
        <row r="42">
          <cell r="H42">
            <v>0</v>
          </cell>
          <cell r="J42">
            <v>0</v>
          </cell>
          <cell r="N42">
            <v>0</v>
          </cell>
          <cell r="P42">
            <v>0</v>
          </cell>
          <cell r="R42">
            <v>0</v>
          </cell>
          <cell r="U42">
            <v>0</v>
          </cell>
          <cell r="V42">
            <v>0</v>
          </cell>
          <cell r="X42">
            <v>0</v>
          </cell>
          <cell r="Y42">
            <v>0</v>
          </cell>
          <cell r="AA42">
            <v>0</v>
          </cell>
          <cell r="AB42">
            <v>0</v>
          </cell>
        </row>
        <row r="45">
          <cell r="H45">
            <v>0</v>
          </cell>
          <cell r="J45">
            <v>0</v>
          </cell>
          <cell r="R45">
            <v>0</v>
          </cell>
          <cell r="U45">
            <v>0</v>
          </cell>
          <cell r="V45">
            <v>0</v>
          </cell>
          <cell r="X45">
            <v>0</v>
          </cell>
          <cell r="Y45">
            <v>0</v>
          </cell>
          <cell r="AA45">
            <v>0</v>
          </cell>
          <cell r="AB45">
            <v>0</v>
          </cell>
        </row>
      </sheetData>
      <sheetData sheetId="3"/>
      <sheetData sheetId="4"/>
      <sheetData sheetId="5"/>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7"/>
  <sheetViews>
    <sheetView tabSelected="1" zoomScaleNormal="100" workbookViewId="0">
      <pane ySplit="5" topLeftCell="A6" activePane="bottomLeft" state="frozenSplit"/>
      <selection pane="bottomLeft" sqref="A1:E1"/>
    </sheetView>
  </sheetViews>
  <sheetFormatPr defaultRowHeight="12.75" customHeight="1" x14ac:dyDescent="0.25"/>
  <cols>
    <col min="1" max="1" width="76.28515625" style="958" customWidth="1"/>
    <col min="2" max="2" width="13" style="960" customWidth="1"/>
    <col min="3" max="3" width="7.42578125" style="960" customWidth="1"/>
    <col min="4" max="4" width="11.28515625" style="959" bestFit="1" customWidth="1"/>
    <col min="5" max="5" width="12.5703125" style="959" customWidth="1"/>
    <col min="6" max="16384" width="9.140625" style="958"/>
  </cols>
  <sheetData>
    <row r="1" spans="1:6" ht="12.75" customHeight="1" x14ac:dyDescent="0.25">
      <c r="A1" s="1164" t="s">
        <v>896</v>
      </c>
      <c r="B1" s="1164"/>
      <c r="C1" s="1164"/>
      <c r="D1" s="1164"/>
      <c r="E1" s="1164"/>
    </row>
    <row r="2" spans="1:6" ht="12.75" customHeight="1" thickBot="1" x14ac:dyDescent="0.3">
      <c r="A2" s="1165"/>
      <c r="B2" s="1165"/>
      <c r="C2" s="1165"/>
      <c r="D2" s="1165"/>
      <c r="E2" s="1165"/>
    </row>
    <row r="3" spans="1:6" ht="27.95" customHeight="1" thickBot="1" x14ac:dyDescent="0.3">
      <c r="A3" s="1157" t="s">
        <v>673</v>
      </c>
      <c r="B3" s="1158"/>
      <c r="C3" s="1158"/>
      <c r="D3" s="1158"/>
      <c r="E3" s="1159"/>
      <c r="F3" s="980"/>
    </row>
    <row r="4" spans="1:6" ht="12.75" customHeight="1" thickBot="1" x14ac:dyDescent="0.3">
      <c r="A4" s="1154" t="s">
        <v>624</v>
      </c>
      <c r="B4" s="1155"/>
      <c r="C4" s="1155"/>
      <c r="D4" s="1155"/>
      <c r="E4" s="1156"/>
    </row>
    <row r="5" spans="1:6" ht="18" customHeight="1" thickBot="1" x14ac:dyDescent="0.3">
      <c r="A5" s="1005" t="s">
        <v>625</v>
      </c>
      <c r="B5" s="1004" t="s">
        <v>912</v>
      </c>
      <c r="C5" s="1003" t="s">
        <v>913</v>
      </c>
      <c r="D5" s="1002" t="s">
        <v>914</v>
      </c>
      <c r="E5" s="1001" t="s">
        <v>915</v>
      </c>
    </row>
    <row r="6" spans="1:6" ht="12.75" customHeight="1" x14ac:dyDescent="0.25">
      <c r="A6" s="1000" t="s">
        <v>2</v>
      </c>
      <c r="B6" s="1162"/>
      <c r="C6" s="1163"/>
      <c r="D6" s="999" t="s">
        <v>605</v>
      </c>
      <c r="E6" s="998" t="s">
        <v>608</v>
      </c>
    </row>
    <row r="7" spans="1:6" ht="12.75" customHeight="1" x14ac:dyDescent="0.25">
      <c r="A7" s="974" t="s">
        <v>3</v>
      </c>
      <c r="B7" s="973" t="s">
        <v>4</v>
      </c>
      <c r="C7" s="972" t="s">
        <v>5</v>
      </c>
      <c r="D7" s="982">
        <f>D8+D16+D27+D35</f>
        <v>1542967.6300000001</v>
      </c>
      <c r="E7" s="981">
        <f>E8+E16+E27+E35</f>
        <v>1544535.2799999998</v>
      </c>
    </row>
    <row r="8" spans="1:6" ht="12.75" customHeight="1" x14ac:dyDescent="0.25">
      <c r="A8" s="974" t="s">
        <v>6</v>
      </c>
      <c r="B8" s="973" t="s">
        <v>7</v>
      </c>
      <c r="C8" s="972" t="s">
        <v>8</v>
      </c>
      <c r="D8" s="976">
        <f>SUM(D9:D15)</f>
        <v>36894.180000000008</v>
      </c>
      <c r="E8" s="975">
        <f>SUM(E9:E15)</f>
        <v>38471.010000000009</v>
      </c>
    </row>
    <row r="9" spans="1:6" ht="12.75" customHeight="1" x14ac:dyDescent="0.25">
      <c r="A9" s="974" t="s">
        <v>9</v>
      </c>
      <c r="B9" s="973" t="s">
        <v>10</v>
      </c>
      <c r="C9" s="972" t="s">
        <v>11</v>
      </c>
      <c r="D9" s="971">
        <v>0</v>
      </c>
      <c r="E9" s="970">
        <v>0</v>
      </c>
    </row>
    <row r="10" spans="1:6" ht="12.75" customHeight="1" x14ac:dyDescent="0.25">
      <c r="A10" s="974" t="s">
        <v>12</v>
      </c>
      <c r="B10" s="973" t="s">
        <v>13</v>
      </c>
      <c r="C10" s="972" t="s">
        <v>14</v>
      </c>
      <c r="D10" s="971">
        <v>33339.9</v>
      </c>
      <c r="E10" s="970">
        <v>34941.730000000003</v>
      </c>
    </row>
    <row r="11" spans="1:6" ht="12.75" customHeight="1" x14ac:dyDescent="0.25">
      <c r="A11" s="974" t="s">
        <v>15</v>
      </c>
      <c r="B11" s="973" t="s">
        <v>16</v>
      </c>
      <c r="C11" s="972" t="s">
        <v>17</v>
      </c>
      <c r="D11" s="971">
        <v>0</v>
      </c>
      <c r="E11" s="970">
        <v>0</v>
      </c>
    </row>
    <row r="12" spans="1:6" ht="12.75" customHeight="1" x14ac:dyDescent="0.25">
      <c r="A12" s="974" t="s">
        <v>18</v>
      </c>
      <c r="B12" s="973" t="s">
        <v>19</v>
      </c>
      <c r="C12" s="972" t="s">
        <v>20</v>
      </c>
      <c r="D12" s="971">
        <v>323.16000000000003</v>
      </c>
      <c r="E12" s="970">
        <v>323.16000000000003</v>
      </c>
    </row>
    <row r="13" spans="1:6" ht="12.75" customHeight="1" x14ac:dyDescent="0.25">
      <c r="A13" s="974" t="s">
        <v>21</v>
      </c>
      <c r="B13" s="973" t="s">
        <v>22</v>
      </c>
      <c r="C13" s="972" t="s">
        <v>23</v>
      </c>
      <c r="D13" s="971">
        <v>3206.12</v>
      </c>
      <c r="E13" s="970">
        <v>3206.12</v>
      </c>
    </row>
    <row r="14" spans="1:6" ht="12.75" customHeight="1" x14ac:dyDescent="0.25">
      <c r="A14" s="974" t="s">
        <v>24</v>
      </c>
      <c r="B14" s="973" t="s">
        <v>25</v>
      </c>
      <c r="C14" s="972" t="s">
        <v>26</v>
      </c>
      <c r="D14" s="971">
        <v>0</v>
      </c>
      <c r="E14" s="970">
        <v>0</v>
      </c>
    </row>
    <row r="15" spans="1:6" ht="12.75" customHeight="1" x14ac:dyDescent="0.25">
      <c r="A15" s="974" t="s">
        <v>27</v>
      </c>
      <c r="B15" s="973" t="s">
        <v>28</v>
      </c>
      <c r="C15" s="972" t="s">
        <v>29</v>
      </c>
      <c r="D15" s="971">
        <v>25</v>
      </c>
      <c r="E15" s="970">
        <v>0</v>
      </c>
    </row>
    <row r="16" spans="1:6" ht="12.75" customHeight="1" x14ac:dyDescent="0.25">
      <c r="A16" s="977" t="s">
        <v>30</v>
      </c>
      <c r="B16" s="973" t="s">
        <v>31</v>
      </c>
      <c r="C16" s="972" t="s">
        <v>32</v>
      </c>
      <c r="D16" s="976">
        <f>SUM(D17:D26)</f>
        <v>2047985.7800000003</v>
      </c>
      <c r="E16" s="975">
        <f>SUM(E17:E26)</f>
        <v>2094729.7999999998</v>
      </c>
    </row>
    <row r="17" spans="1:5" ht="12.75" customHeight="1" x14ac:dyDescent="0.25">
      <c r="A17" s="974" t="s">
        <v>33</v>
      </c>
      <c r="B17" s="973" t="s">
        <v>34</v>
      </c>
      <c r="C17" s="972" t="s">
        <v>35</v>
      </c>
      <c r="D17" s="971">
        <v>64902.58</v>
      </c>
      <c r="E17" s="970">
        <v>64902.58</v>
      </c>
    </row>
    <row r="18" spans="1:5" ht="12.75" customHeight="1" x14ac:dyDescent="0.25">
      <c r="A18" s="974" t="s">
        <v>36</v>
      </c>
      <c r="B18" s="973" t="s">
        <v>37</v>
      </c>
      <c r="C18" s="972" t="s">
        <v>38</v>
      </c>
      <c r="D18" s="971">
        <v>2320.14</v>
      </c>
      <c r="E18" s="970">
        <v>2320.14</v>
      </c>
    </row>
    <row r="19" spans="1:5" ht="12.75" customHeight="1" x14ac:dyDescent="0.25">
      <c r="A19" s="974" t="s">
        <v>39</v>
      </c>
      <c r="B19" s="973" t="s">
        <v>40</v>
      </c>
      <c r="C19" s="972" t="s">
        <v>41</v>
      </c>
      <c r="D19" s="971">
        <v>1555466.35</v>
      </c>
      <c r="E19" s="970">
        <v>1574165.91</v>
      </c>
    </row>
    <row r="20" spans="1:5" ht="12.75" customHeight="1" x14ac:dyDescent="0.25">
      <c r="A20" s="974" t="s">
        <v>42</v>
      </c>
      <c r="B20" s="973" t="s">
        <v>43</v>
      </c>
      <c r="C20" s="972" t="s">
        <v>44</v>
      </c>
      <c r="D20" s="971">
        <v>350044.66</v>
      </c>
      <c r="E20" s="970">
        <v>348183.21</v>
      </c>
    </row>
    <row r="21" spans="1:5" ht="12.75" customHeight="1" x14ac:dyDescent="0.25">
      <c r="A21" s="974" t="s">
        <v>45</v>
      </c>
      <c r="B21" s="973" t="s">
        <v>46</v>
      </c>
      <c r="C21" s="972" t="s">
        <v>47</v>
      </c>
      <c r="D21" s="971">
        <v>0</v>
      </c>
      <c r="E21" s="970">
        <v>0</v>
      </c>
    </row>
    <row r="22" spans="1:5" ht="12.75" customHeight="1" x14ac:dyDescent="0.25">
      <c r="A22" s="974" t="s">
        <v>48</v>
      </c>
      <c r="B22" s="973" t="s">
        <v>49</v>
      </c>
      <c r="C22" s="972" t="s">
        <v>50</v>
      </c>
      <c r="D22" s="971">
        <v>0</v>
      </c>
      <c r="E22" s="970">
        <v>0</v>
      </c>
    </row>
    <row r="23" spans="1:5" ht="12.75" customHeight="1" x14ac:dyDescent="0.25">
      <c r="A23" s="974" t="s">
        <v>51</v>
      </c>
      <c r="B23" s="973" t="s">
        <v>52</v>
      </c>
      <c r="C23" s="972" t="s">
        <v>53</v>
      </c>
      <c r="D23" s="971">
        <v>53319.86</v>
      </c>
      <c r="E23" s="970">
        <v>49250.66</v>
      </c>
    </row>
    <row r="24" spans="1:5" ht="12.75" customHeight="1" x14ac:dyDescent="0.25">
      <c r="A24" s="974" t="s">
        <v>54</v>
      </c>
      <c r="B24" s="973" t="s">
        <v>55</v>
      </c>
      <c r="C24" s="972" t="s">
        <v>56</v>
      </c>
      <c r="D24" s="971">
        <v>0</v>
      </c>
      <c r="E24" s="970">
        <v>0</v>
      </c>
    </row>
    <row r="25" spans="1:5" ht="12.75" customHeight="1" x14ac:dyDescent="0.25">
      <c r="A25" s="974" t="s">
        <v>57</v>
      </c>
      <c r="B25" s="973" t="s">
        <v>58</v>
      </c>
      <c r="C25" s="972" t="s">
        <v>59</v>
      </c>
      <c r="D25" s="971">
        <v>21185.62</v>
      </c>
      <c r="E25" s="970">
        <v>55160.73</v>
      </c>
    </row>
    <row r="26" spans="1:5" ht="12.75" customHeight="1" x14ac:dyDescent="0.25">
      <c r="A26" s="974" t="s">
        <v>60</v>
      </c>
      <c r="B26" s="973" t="s">
        <v>61</v>
      </c>
      <c r="C26" s="972" t="s">
        <v>62</v>
      </c>
      <c r="D26" s="971">
        <v>746.57</v>
      </c>
      <c r="E26" s="970">
        <v>746.57</v>
      </c>
    </row>
    <row r="27" spans="1:5" ht="12.75" customHeight="1" x14ac:dyDescent="0.25">
      <c r="A27" s="977" t="s">
        <v>63</v>
      </c>
      <c r="B27" s="973" t="s">
        <v>64</v>
      </c>
      <c r="C27" s="972" t="s">
        <v>65</v>
      </c>
      <c r="D27" s="976">
        <f>SUM(D28:D34)</f>
        <v>580.92999999999995</v>
      </c>
      <c r="E27" s="975">
        <f>SUM(E28:E34)</f>
        <v>580.92999999999995</v>
      </c>
    </row>
    <row r="28" spans="1:5" ht="12.75" customHeight="1" x14ac:dyDescent="0.25">
      <c r="A28" s="974" t="s">
        <v>66</v>
      </c>
      <c r="B28" s="973" t="s">
        <v>67</v>
      </c>
      <c r="C28" s="972" t="s">
        <v>68</v>
      </c>
      <c r="D28" s="971">
        <v>0</v>
      </c>
      <c r="E28" s="970">
        <v>0</v>
      </c>
    </row>
    <row r="29" spans="1:5" ht="12.75" customHeight="1" x14ac:dyDescent="0.25">
      <c r="A29" s="974" t="s">
        <v>69</v>
      </c>
      <c r="B29" s="973" t="s">
        <v>70</v>
      </c>
      <c r="C29" s="972" t="s">
        <v>71</v>
      </c>
      <c r="D29" s="971">
        <v>0</v>
      </c>
      <c r="E29" s="970">
        <v>0</v>
      </c>
    </row>
    <row r="30" spans="1:5" ht="12.75" customHeight="1" x14ac:dyDescent="0.25">
      <c r="A30" s="974" t="s">
        <v>72</v>
      </c>
      <c r="B30" s="973" t="s">
        <v>73</v>
      </c>
      <c r="C30" s="972" t="s">
        <v>74</v>
      </c>
      <c r="D30" s="971">
        <v>0</v>
      </c>
      <c r="E30" s="970">
        <v>0</v>
      </c>
    </row>
    <row r="31" spans="1:5" ht="12.75" customHeight="1" x14ac:dyDescent="0.25">
      <c r="A31" s="974" t="s">
        <v>75</v>
      </c>
      <c r="B31" s="973" t="s">
        <v>76</v>
      </c>
      <c r="C31" s="972" t="s">
        <v>77</v>
      </c>
      <c r="D31" s="971">
        <v>0</v>
      </c>
      <c r="E31" s="970">
        <v>0</v>
      </c>
    </row>
    <row r="32" spans="1:5" ht="12.75" customHeight="1" x14ac:dyDescent="0.25">
      <c r="A32" s="974" t="s">
        <v>78</v>
      </c>
      <c r="B32" s="973" t="s">
        <v>79</v>
      </c>
      <c r="C32" s="972" t="s">
        <v>80</v>
      </c>
      <c r="D32" s="971">
        <v>0</v>
      </c>
      <c r="E32" s="970">
        <v>0</v>
      </c>
    </row>
    <row r="33" spans="1:5" ht="12.75" customHeight="1" x14ac:dyDescent="0.25">
      <c r="A33" s="974" t="s">
        <v>81</v>
      </c>
      <c r="B33" s="973" t="s">
        <v>82</v>
      </c>
      <c r="C33" s="972" t="s">
        <v>83</v>
      </c>
      <c r="D33" s="971">
        <v>580.92999999999995</v>
      </c>
      <c r="E33" s="970">
        <v>580.92999999999995</v>
      </c>
    </row>
    <row r="34" spans="1:5" ht="12.75" customHeight="1" x14ac:dyDescent="0.25">
      <c r="A34" s="974" t="s">
        <v>619</v>
      </c>
      <c r="B34" s="973" t="s">
        <v>84</v>
      </c>
      <c r="C34" s="972" t="s">
        <v>85</v>
      </c>
      <c r="D34" s="971">
        <v>0</v>
      </c>
      <c r="E34" s="970">
        <v>0</v>
      </c>
    </row>
    <row r="35" spans="1:5" ht="12.75" customHeight="1" x14ac:dyDescent="0.25">
      <c r="A35" s="977" t="s">
        <v>86</v>
      </c>
      <c r="B35" s="973" t="s">
        <v>87</v>
      </c>
      <c r="C35" s="972" t="s">
        <v>88</v>
      </c>
      <c r="D35" s="976">
        <f>SUM(D36:D46)</f>
        <v>-542493.26</v>
      </c>
      <c r="E35" s="975">
        <f>SUM(E36:E46)</f>
        <v>-589246.46</v>
      </c>
    </row>
    <row r="36" spans="1:5" ht="12.75" customHeight="1" x14ac:dyDescent="0.25">
      <c r="A36" s="974" t="s">
        <v>89</v>
      </c>
      <c r="B36" s="973" t="s">
        <v>90</v>
      </c>
      <c r="C36" s="972" t="s">
        <v>91</v>
      </c>
      <c r="D36" s="971">
        <v>0</v>
      </c>
      <c r="E36" s="970">
        <v>0</v>
      </c>
    </row>
    <row r="37" spans="1:5" ht="12.75" customHeight="1" x14ac:dyDescent="0.25">
      <c r="A37" s="974" t="s">
        <v>92</v>
      </c>
      <c r="B37" s="973" t="s">
        <v>93</v>
      </c>
      <c r="C37" s="972" t="s">
        <v>94</v>
      </c>
      <c r="D37" s="971">
        <v>-31932.18</v>
      </c>
      <c r="E37" s="970">
        <v>-32323.9</v>
      </c>
    </row>
    <row r="38" spans="1:5" ht="12.75" customHeight="1" x14ac:dyDescent="0.25">
      <c r="A38" s="974" t="s">
        <v>95</v>
      </c>
      <c r="B38" s="973" t="s">
        <v>96</v>
      </c>
      <c r="C38" s="972" t="s">
        <v>97</v>
      </c>
      <c r="D38" s="971">
        <v>0</v>
      </c>
      <c r="E38" s="970">
        <v>0</v>
      </c>
    </row>
    <row r="39" spans="1:5" ht="12.75" customHeight="1" x14ac:dyDescent="0.25">
      <c r="A39" s="974" t="s">
        <v>98</v>
      </c>
      <c r="B39" s="973" t="s">
        <v>99</v>
      </c>
      <c r="C39" s="972" t="s">
        <v>100</v>
      </c>
      <c r="D39" s="971">
        <v>-323.16000000000003</v>
      </c>
      <c r="E39" s="970">
        <v>-323.16000000000003</v>
      </c>
    </row>
    <row r="40" spans="1:5" ht="12.75" customHeight="1" x14ac:dyDescent="0.25">
      <c r="A40" s="974" t="s">
        <v>101</v>
      </c>
      <c r="B40" s="973" t="s">
        <v>102</v>
      </c>
      <c r="C40" s="972" t="s">
        <v>103</v>
      </c>
      <c r="D40" s="971">
        <v>-2694.35</v>
      </c>
      <c r="E40" s="970">
        <v>-3082.23</v>
      </c>
    </row>
    <row r="41" spans="1:5" ht="12.75" customHeight="1" x14ac:dyDescent="0.25">
      <c r="A41" s="974" t="s">
        <v>104</v>
      </c>
      <c r="B41" s="973" t="s">
        <v>105</v>
      </c>
      <c r="C41" s="972" t="s">
        <v>106</v>
      </c>
      <c r="D41" s="971">
        <v>-224614.88</v>
      </c>
      <c r="E41" s="970">
        <v>-256633.75</v>
      </c>
    </row>
    <row r="42" spans="1:5" ht="12.75" customHeight="1" x14ac:dyDescent="0.25">
      <c r="A42" s="974" t="s">
        <v>107</v>
      </c>
      <c r="B42" s="973" t="s">
        <v>108</v>
      </c>
      <c r="C42" s="972" t="s">
        <v>109</v>
      </c>
      <c r="D42" s="971">
        <v>-229806.44</v>
      </c>
      <c r="E42" s="970">
        <v>-247830.37</v>
      </c>
    </row>
    <row r="43" spans="1:5" ht="12.75" customHeight="1" x14ac:dyDescent="0.25">
      <c r="A43" s="974" t="s">
        <v>110</v>
      </c>
      <c r="B43" s="973" t="s">
        <v>111</v>
      </c>
      <c r="C43" s="972" t="s">
        <v>112</v>
      </c>
      <c r="D43" s="971">
        <v>0</v>
      </c>
      <c r="E43" s="970">
        <v>0</v>
      </c>
    </row>
    <row r="44" spans="1:5" ht="12.75" customHeight="1" x14ac:dyDescent="0.25">
      <c r="A44" s="974" t="s">
        <v>113</v>
      </c>
      <c r="B44" s="973" t="s">
        <v>114</v>
      </c>
      <c r="C44" s="972" t="s">
        <v>115</v>
      </c>
      <c r="D44" s="971">
        <v>0</v>
      </c>
      <c r="E44" s="970">
        <v>0</v>
      </c>
    </row>
    <row r="45" spans="1:5" ht="12.75" customHeight="1" x14ac:dyDescent="0.25">
      <c r="A45" s="974" t="s">
        <v>766</v>
      </c>
      <c r="B45" s="973" t="s">
        <v>116</v>
      </c>
      <c r="C45" s="972" t="s">
        <v>117</v>
      </c>
      <c r="D45" s="971">
        <v>-53122.25</v>
      </c>
      <c r="E45" s="970">
        <v>-49053.05</v>
      </c>
    </row>
    <row r="46" spans="1:5" ht="13.5" thickBot="1" x14ac:dyDescent="0.3">
      <c r="A46" s="969" t="s">
        <v>767</v>
      </c>
      <c r="B46" s="990" t="s">
        <v>118</v>
      </c>
      <c r="C46" s="967" t="s">
        <v>119</v>
      </c>
      <c r="D46" s="997">
        <v>0</v>
      </c>
      <c r="E46" s="996">
        <v>0</v>
      </c>
    </row>
    <row r="47" spans="1:5" ht="12.75" customHeight="1" x14ac:dyDescent="0.25">
      <c r="A47" s="995" t="s">
        <v>120</v>
      </c>
      <c r="B47" s="994" t="s">
        <v>121</v>
      </c>
      <c r="C47" s="993" t="s">
        <v>122</v>
      </c>
      <c r="D47" s="992">
        <f>D48+D58+D78+D87</f>
        <v>295846.26999999996</v>
      </c>
      <c r="E47" s="991">
        <f>E48+E58+E78+E87</f>
        <v>327317.38</v>
      </c>
    </row>
    <row r="48" spans="1:5" ht="12.75" customHeight="1" x14ac:dyDescent="0.25">
      <c r="A48" s="977" t="s">
        <v>123</v>
      </c>
      <c r="B48" s="973" t="s">
        <v>124</v>
      </c>
      <c r="C48" s="972" t="s">
        <v>125</v>
      </c>
      <c r="D48" s="976">
        <f>SUM(D49:D57)</f>
        <v>6125.3700000000008</v>
      </c>
      <c r="E48" s="975">
        <f>SUM(E49:E57)</f>
        <v>6586.94</v>
      </c>
    </row>
    <row r="49" spans="1:5" ht="12.75" customHeight="1" x14ac:dyDescent="0.25">
      <c r="A49" s="974" t="s">
        <v>126</v>
      </c>
      <c r="B49" s="973" t="s">
        <v>127</v>
      </c>
      <c r="C49" s="972" t="s">
        <v>128</v>
      </c>
      <c r="D49" s="971">
        <v>835.98</v>
      </c>
      <c r="E49" s="970">
        <v>977.13</v>
      </c>
    </row>
    <row r="50" spans="1:5" ht="12.75" customHeight="1" x14ac:dyDescent="0.25">
      <c r="A50" s="974" t="s">
        <v>129</v>
      </c>
      <c r="B50" s="973" t="s">
        <v>130</v>
      </c>
      <c r="C50" s="972" t="s">
        <v>131</v>
      </c>
      <c r="D50" s="971">
        <v>0</v>
      </c>
      <c r="E50" s="970">
        <v>0</v>
      </c>
    </row>
    <row r="51" spans="1:5" ht="12.75" customHeight="1" x14ac:dyDescent="0.25">
      <c r="A51" s="974" t="s">
        <v>132</v>
      </c>
      <c r="B51" s="973" t="s">
        <v>133</v>
      </c>
      <c r="C51" s="972" t="s">
        <v>134</v>
      </c>
      <c r="D51" s="971">
        <v>0</v>
      </c>
      <c r="E51" s="970">
        <v>0</v>
      </c>
    </row>
    <row r="52" spans="1:5" ht="12.75" customHeight="1" x14ac:dyDescent="0.25">
      <c r="A52" s="974" t="s">
        <v>135</v>
      </c>
      <c r="B52" s="973" t="s">
        <v>136</v>
      </c>
      <c r="C52" s="972" t="s">
        <v>137</v>
      </c>
      <c r="D52" s="971">
        <v>0</v>
      </c>
      <c r="E52" s="970">
        <v>0</v>
      </c>
    </row>
    <row r="53" spans="1:5" ht="12.75" customHeight="1" x14ac:dyDescent="0.25">
      <c r="A53" s="974" t="s">
        <v>138</v>
      </c>
      <c r="B53" s="973" t="s">
        <v>139</v>
      </c>
      <c r="C53" s="972" t="s">
        <v>140</v>
      </c>
      <c r="D53" s="971">
        <v>5095.13</v>
      </c>
      <c r="E53" s="970">
        <v>5390.83</v>
      </c>
    </row>
    <row r="54" spans="1:5" ht="12.75" customHeight="1" x14ac:dyDescent="0.25">
      <c r="A54" s="974" t="s">
        <v>141</v>
      </c>
      <c r="B54" s="973" t="s">
        <v>142</v>
      </c>
      <c r="C54" s="972" t="s">
        <v>143</v>
      </c>
      <c r="D54" s="971">
        <v>0</v>
      </c>
      <c r="E54" s="970">
        <v>0</v>
      </c>
    </row>
    <row r="55" spans="1:5" ht="12.75" customHeight="1" x14ac:dyDescent="0.25">
      <c r="A55" s="974" t="s">
        <v>144</v>
      </c>
      <c r="B55" s="973" t="s">
        <v>145</v>
      </c>
      <c r="C55" s="972" t="s">
        <v>146</v>
      </c>
      <c r="D55" s="971">
        <v>194.26</v>
      </c>
      <c r="E55" s="970">
        <v>218.98</v>
      </c>
    </row>
    <row r="56" spans="1:5" ht="12.75" customHeight="1" x14ac:dyDescent="0.25">
      <c r="A56" s="974" t="s">
        <v>147</v>
      </c>
      <c r="B56" s="973" t="s">
        <v>148</v>
      </c>
      <c r="C56" s="972" t="s">
        <v>149</v>
      </c>
      <c r="D56" s="971">
        <v>0</v>
      </c>
      <c r="E56" s="970">
        <v>0</v>
      </c>
    </row>
    <row r="57" spans="1:5" ht="12.75" customHeight="1" x14ac:dyDescent="0.25">
      <c r="A57" s="974" t="s">
        <v>150</v>
      </c>
      <c r="B57" s="973" t="s">
        <v>151</v>
      </c>
      <c r="C57" s="972" t="s">
        <v>152</v>
      </c>
      <c r="D57" s="971">
        <v>0</v>
      </c>
      <c r="E57" s="970">
        <v>0</v>
      </c>
    </row>
    <row r="58" spans="1:5" ht="12.75" customHeight="1" x14ac:dyDescent="0.25">
      <c r="A58" s="977" t="s">
        <v>153</v>
      </c>
      <c r="B58" s="973" t="s">
        <v>154</v>
      </c>
      <c r="C58" s="972" t="s">
        <v>155</v>
      </c>
      <c r="D58" s="976">
        <f>SUM(D59:D77)</f>
        <v>14920.809999999998</v>
      </c>
      <c r="E58" s="975">
        <f>SUM(E59:E77)</f>
        <v>12448.160000000002</v>
      </c>
    </row>
    <row r="59" spans="1:5" ht="12.75" customHeight="1" x14ac:dyDescent="0.25">
      <c r="A59" s="974" t="s">
        <v>156</v>
      </c>
      <c r="B59" s="973" t="s">
        <v>157</v>
      </c>
      <c r="C59" s="972" t="s">
        <v>158</v>
      </c>
      <c r="D59" s="971">
        <v>8639.5</v>
      </c>
      <c r="E59" s="970">
        <v>7791.59</v>
      </c>
    </row>
    <row r="60" spans="1:5" ht="12.75" customHeight="1" x14ac:dyDescent="0.25">
      <c r="A60" s="974" t="s">
        <v>159</v>
      </c>
      <c r="B60" s="973" t="s">
        <v>160</v>
      </c>
      <c r="C60" s="972" t="s">
        <v>161</v>
      </c>
      <c r="D60" s="971">
        <v>0</v>
      </c>
      <c r="E60" s="970">
        <v>0</v>
      </c>
    </row>
    <row r="61" spans="1:5" ht="12.75" customHeight="1" x14ac:dyDescent="0.25">
      <c r="A61" s="974" t="s">
        <v>162</v>
      </c>
      <c r="B61" s="973" t="s">
        <v>163</v>
      </c>
      <c r="C61" s="972" t="s">
        <v>164</v>
      </c>
      <c r="D61" s="971">
        <v>0</v>
      </c>
      <c r="E61" s="970">
        <v>0</v>
      </c>
    </row>
    <row r="62" spans="1:5" ht="12.75" customHeight="1" x14ac:dyDescent="0.25">
      <c r="A62" s="974" t="s">
        <v>165</v>
      </c>
      <c r="B62" s="973" t="s">
        <v>151</v>
      </c>
      <c r="C62" s="972" t="s">
        <v>166</v>
      </c>
      <c r="D62" s="971">
        <v>1320.37</v>
      </c>
      <c r="E62" s="970">
        <v>1321.03</v>
      </c>
    </row>
    <row r="63" spans="1:5" ht="12.75" customHeight="1" x14ac:dyDescent="0.25">
      <c r="A63" s="974" t="s">
        <v>167</v>
      </c>
      <c r="B63" s="973" t="s">
        <v>168</v>
      </c>
      <c r="C63" s="972" t="s">
        <v>169</v>
      </c>
      <c r="D63" s="971">
        <v>912.6</v>
      </c>
      <c r="E63" s="970">
        <v>406.91</v>
      </c>
    </row>
    <row r="64" spans="1:5" ht="12.75" customHeight="1" x14ac:dyDescent="0.25">
      <c r="A64" s="974" t="s">
        <v>170</v>
      </c>
      <c r="B64" s="973" t="s">
        <v>171</v>
      </c>
      <c r="C64" s="972" t="s">
        <v>172</v>
      </c>
      <c r="D64" s="971">
        <v>390.4</v>
      </c>
      <c r="E64" s="970">
        <v>378.25</v>
      </c>
    </row>
    <row r="65" spans="1:6" ht="12.75" customHeight="1" x14ac:dyDescent="0.25">
      <c r="A65" s="978" t="s">
        <v>771</v>
      </c>
      <c r="B65" s="973" t="s">
        <v>173</v>
      </c>
      <c r="C65" s="972" t="s">
        <v>174</v>
      </c>
      <c r="D65" s="971">
        <v>0</v>
      </c>
      <c r="E65" s="970">
        <v>0</v>
      </c>
      <c r="F65"/>
    </row>
    <row r="66" spans="1:6" ht="12.75" customHeight="1" x14ac:dyDescent="0.25">
      <c r="A66" s="974" t="s">
        <v>175</v>
      </c>
      <c r="B66" s="973" t="s">
        <v>176</v>
      </c>
      <c r="C66" s="972" t="s">
        <v>177</v>
      </c>
      <c r="D66" s="971">
        <v>862.39</v>
      </c>
      <c r="E66" s="970">
        <v>0</v>
      </c>
    </row>
    <row r="67" spans="1:6" ht="12.75" customHeight="1" x14ac:dyDescent="0.25">
      <c r="A67" s="974" t="s">
        <v>178</v>
      </c>
      <c r="B67" s="973" t="s">
        <v>179</v>
      </c>
      <c r="C67" s="972" t="s">
        <v>180</v>
      </c>
      <c r="D67" s="971">
        <v>0</v>
      </c>
      <c r="E67" s="970">
        <v>0</v>
      </c>
    </row>
    <row r="68" spans="1:6" ht="12.75" customHeight="1" x14ac:dyDescent="0.25">
      <c r="A68" s="974" t="s">
        <v>181</v>
      </c>
      <c r="B68" s="973" t="s">
        <v>182</v>
      </c>
      <c r="C68" s="972" t="s">
        <v>183</v>
      </c>
      <c r="D68" s="971">
        <v>0</v>
      </c>
      <c r="E68" s="970">
        <v>0</v>
      </c>
    </row>
    <row r="69" spans="1:6" ht="12.75" customHeight="1" x14ac:dyDescent="0.25">
      <c r="A69" s="974" t="s">
        <v>184</v>
      </c>
      <c r="B69" s="973" t="s">
        <v>185</v>
      </c>
      <c r="C69" s="972" t="s">
        <v>186</v>
      </c>
      <c r="D69" s="971">
        <v>0</v>
      </c>
      <c r="E69" s="970">
        <v>0</v>
      </c>
    </row>
    <row r="70" spans="1:6" ht="12.75" customHeight="1" x14ac:dyDescent="0.25">
      <c r="A70" s="974" t="s">
        <v>187</v>
      </c>
      <c r="B70" s="973" t="s">
        <v>188</v>
      </c>
      <c r="C70" s="972" t="s">
        <v>189</v>
      </c>
      <c r="D70" s="971">
        <v>0</v>
      </c>
      <c r="E70" s="970">
        <v>0</v>
      </c>
    </row>
    <row r="71" spans="1:6" ht="12.75" customHeight="1" x14ac:dyDescent="0.25">
      <c r="A71" s="974" t="s">
        <v>765</v>
      </c>
      <c r="B71" s="973" t="s">
        <v>190</v>
      </c>
      <c r="C71" s="972" t="s">
        <v>191</v>
      </c>
      <c r="D71" s="971">
        <v>467.24</v>
      </c>
      <c r="E71" s="970">
        <v>1588.71</v>
      </c>
    </row>
    <row r="72" spans="1:6" ht="12.75" customHeight="1" x14ac:dyDescent="0.25">
      <c r="A72" s="974" t="s">
        <v>192</v>
      </c>
      <c r="B72" s="973" t="s">
        <v>193</v>
      </c>
      <c r="C72" s="972" t="s">
        <v>194</v>
      </c>
      <c r="D72" s="971">
        <v>0</v>
      </c>
      <c r="E72" s="970">
        <v>0</v>
      </c>
    </row>
    <row r="73" spans="1:6" ht="12.75" customHeight="1" x14ac:dyDescent="0.25">
      <c r="A73" s="974" t="s">
        <v>620</v>
      </c>
      <c r="B73" s="973" t="s">
        <v>195</v>
      </c>
      <c r="C73" s="972" t="s">
        <v>196</v>
      </c>
      <c r="D73" s="971">
        <v>0</v>
      </c>
      <c r="E73" s="970">
        <v>0</v>
      </c>
    </row>
    <row r="74" spans="1:6" ht="12.75" customHeight="1" x14ac:dyDescent="0.25">
      <c r="A74" s="974" t="s">
        <v>621</v>
      </c>
      <c r="B74" s="973" t="s">
        <v>197</v>
      </c>
      <c r="C74" s="972" t="s">
        <v>198</v>
      </c>
      <c r="D74" s="971">
        <v>0</v>
      </c>
      <c r="E74" s="970">
        <v>0</v>
      </c>
    </row>
    <row r="75" spans="1:6" ht="12.75" customHeight="1" x14ac:dyDescent="0.25">
      <c r="A75" s="974" t="s">
        <v>199</v>
      </c>
      <c r="B75" s="973" t="s">
        <v>200</v>
      </c>
      <c r="C75" s="972" t="s">
        <v>201</v>
      </c>
      <c r="D75" s="971">
        <v>678.33</v>
      </c>
      <c r="E75" s="970">
        <v>961.67</v>
      </c>
    </row>
    <row r="76" spans="1:6" ht="12.75" customHeight="1" x14ac:dyDescent="0.25">
      <c r="A76" s="974" t="s">
        <v>202</v>
      </c>
      <c r="B76" s="973" t="s">
        <v>203</v>
      </c>
      <c r="C76" s="972" t="s">
        <v>204</v>
      </c>
      <c r="D76" s="971">
        <v>1649.98</v>
      </c>
      <c r="E76" s="970">
        <v>0</v>
      </c>
    </row>
    <row r="77" spans="1:6" ht="12.75" customHeight="1" x14ac:dyDescent="0.25">
      <c r="A77" s="974" t="s">
        <v>205</v>
      </c>
      <c r="B77" s="973" t="s">
        <v>206</v>
      </c>
      <c r="C77" s="972" t="s">
        <v>207</v>
      </c>
      <c r="D77" s="971">
        <v>0</v>
      </c>
      <c r="E77" s="970">
        <v>0</v>
      </c>
    </row>
    <row r="78" spans="1:6" ht="12.75" customHeight="1" x14ac:dyDescent="0.25">
      <c r="A78" s="977" t="s">
        <v>208</v>
      </c>
      <c r="B78" s="973" t="s">
        <v>209</v>
      </c>
      <c r="C78" s="972" t="s">
        <v>210</v>
      </c>
      <c r="D78" s="976">
        <f>SUM(D79:D86)</f>
        <v>269359.84999999998</v>
      </c>
      <c r="E78" s="975">
        <f>SUM(E79:E86)</f>
        <v>302422.47000000003</v>
      </c>
    </row>
    <row r="79" spans="1:6" ht="12.75" customHeight="1" x14ac:dyDescent="0.25">
      <c r="A79" s="974" t="s">
        <v>211</v>
      </c>
      <c r="B79" s="973" t="s">
        <v>212</v>
      </c>
      <c r="C79" s="972" t="s">
        <v>213</v>
      </c>
      <c r="D79" s="971">
        <v>214.45</v>
      </c>
      <c r="E79" s="970">
        <v>228.78</v>
      </c>
    </row>
    <row r="80" spans="1:6" ht="12.75" customHeight="1" x14ac:dyDescent="0.25">
      <c r="A80" s="974" t="s">
        <v>214</v>
      </c>
      <c r="B80" s="973" t="s">
        <v>215</v>
      </c>
      <c r="C80" s="972" t="s">
        <v>216</v>
      </c>
      <c r="D80" s="971">
        <v>0.72</v>
      </c>
      <c r="E80" s="970">
        <v>0</v>
      </c>
    </row>
    <row r="81" spans="1:5" ht="12.75" customHeight="1" x14ac:dyDescent="0.25">
      <c r="A81" s="974" t="s">
        <v>217</v>
      </c>
      <c r="B81" s="973" t="s">
        <v>218</v>
      </c>
      <c r="C81" s="972" t="s">
        <v>219</v>
      </c>
      <c r="D81" s="971">
        <v>269144.68</v>
      </c>
      <c r="E81" s="970">
        <v>302193.69</v>
      </c>
    </row>
    <row r="82" spans="1:5" ht="12.75" customHeight="1" x14ac:dyDescent="0.25">
      <c r="A82" s="974" t="s">
        <v>220</v>
      </c>
      <c r="B82" s="973" t="s">
        <v>221</v>
      </c>
      <c r="C82" s="972" t="s">
        <v>222</v>
      </c>
      <c r="D82" s="971">
        <v>0</v>
      </c>
      <c r="E82" s="970">
        <v>0</v>
      </c>
    </row>
    <row r="83" spans="1:5" ht="12.75" customHeight="1" x14ac:dyDescent="0.25">
      <c r="A83" s="974" t="s">
        <v>223</v>
      </c>
      <c r="B83" s="973" t="s">
        <v>224</v>
      </c>
      <c r="C83" s="972" t="s">
        <v>225</v>
      </c>
      <c r="D83" s="971">
        <v>0</v>
      </c>
      <c r="E83" s="970">
        <v>0</v>
      </c>
    </row>
    <row r="84" spans="1:5" ht="12.75" customHeight="1" x14ac:dyDescent="0.25">
      <c r="A84" s="974" t="s">
        <v>226</v>
      </c>
      <c r="B84" s="973" t="s">
        <v>227</v>
      </c>
      <c r="C84" s="972" t="s">
        <v>228</v>
      </c>
      <c r="D84" s="971">
        <v>0</v>
      </c>
      <c r="E84" s="970">
        <v>0</v>
      </c>
    </row>
    <row r="85" spans="1:5" ht="12.75" customHeight="1" x14ac:dyDescent="0.25">
      <c r="A85" s="974" t="s">
        <v>229</v>
      </c>
      <c r="B85" s="973" t="s">
        <v>230</v>
      </c>
      <c r="C85" s="972" t="s">
        <v>231</v>
      </c>
      <c r="D85" s="971">
        <v>0</v>
      </c>
      <c r="E85" s="970">
        <v>0</v>
      </c>
    </row>
    <row r="86" spans="1:5" ht="12.75" customHeight="1" x14ac:dyDescent="0.25">
      <c r="A86" s="974" t="s">
        <v>232</v>
      </c>
      <c r="B86" s="973" t="s">
        <v>233</v>
      </c>
      <c r="C86" s="972" t="s">
        <v>234</v>
      </c>
      <c r="D86" s="971">
        <v>0</v>
      </c>
      <c r="E86" s="970">
        <v>0</v>
      </c>
    </row>
    <row r="87" spans="1:5" ht="12.75" customHeight="1" x14ac:dyDescent="0.25">
      <c r="A87" s="977" t="s">
        <v>235</v>
      </c>
      <c r="B87" s="973" t="s">
        <v>236</v>
      </c>
      <c r="C87" s="972" t="s">
        <v>237</v>
      </c>
      <c r="D87" s="976">
        <f>SUM(D88:D90)</f>
        <v>5440.2399999999989</v>
      </c>
      <c r="E87" s="975">
        <f>SUM(E88:E90)</f>
        <v>5859.81</v>
      </c>
    </row>
    <row r="88" spans="1:5" ht="12.75" customHeight="1" x14ac:dyDescent="0.25">
      <c r="A88" s="974" t="s">
        <v>238</v>
      </c>
      <c r="B88" s="973" t="s">
        <v>239</v>
      </c>
      <c r="C88" s="972" t="s">
        <v>240</v>
      </c>
      <c r="D88" s="971">
        <v>5392.15</v>
      </c>
      <c r="E88" s="970">
        <v>5617.6</v>
      </c>
    </row>
    <row r="89" spans="1:5" ht="12.75" customHeight="1" x14ac:dyDescent="0.25">
      <c r="A89" s="974" t="s">
        <v>241</v>
      </c>
      <c r="B89" s="973" t="s">
        <v>242</v>
      </c>
      <c r="C89" s="972" t="s">
        <v>243</v>
      </c>
      <c r="D89" s="971">
        <v>47.98</v>
      </c>
      <c r="E89" s="970">
        <v>240.65</v>
      </c>
    </row>
    <row r="90" spans="1:5" ht="12.75" customHeight="1" x14ac:dyDescent="0.25">
      <c r="A90" s="974" t="s">
        <v>244</v>
      </c>
      <c r="B90" s="973" t="s">
        <v>245</v>
      </c>
      <c r="C90" s="972" t="s">
        <v>246</v>
      </c>
      <c r="D90" s="971">
        <v>0.11</v>
      </c>
      <c r="E90" s="970">
        <v>1.56</v>
      </c>
    </row>
    <row r="91" spans="1:5" ht="12.75" customHeight="1" thickBot="1" x14ac:dyDescent="0.3">
      <c r="A91" s="969" t="s">
        <v>247</v>
      </c>
      <c r="B91" s="990" t="s">
        <v>248</v>
      </c>
      <c r="C91" s="967" t="s">
        <v>249</v>
      </c>
      <c r="D91" s="989">
        <f>D7+D47</f>
        <v>1838813.9000000001</v>
      </c>
      <c r="E91" s="965">
        <f>E7+E47</f>
        <v>1871852.6599999997</v>
      </c>
    </row>
    <row r="92" spans="1:5" ht="12.75" customHeight="1" thickBot="1" x14ac:dyDescent="0.3">
      <c r="A92" s="988" t="s">
        <v>250</v>
      </c>
      <c r="B92" s="1160" t="s">
        <v>251</v>
      </c>
      <c r="C92" s="1161"/>
      <c r="D92" s="987" t="s">
        <v>671</v>
      </c>
      <c r="E92" s="986" t="s">
        <v>672</v>
      </c>
    </row>
    <row r="93" spans="1:5" ht="12.75" customHeight="1" x14ac:dyDescent="0.25">
      <c r="A93" s="985" t="s">
        <v>252</v>
      </c>
      <c r="B93" s="984" t="s">
        <v>253</v>
      </c>
      <c r="C93" s="983" t="s">
        <v>254</v>
      </c>
      <c r="D93" s="982">
        <f>D94+D98</f>
        <v>1735109.85</v>
      </c>
      <c r="E93" s="981">
        <f>E94+E98</f>
        <v>1796788.72</v>
      </c>
    </row>
    <row r="94" spans="1:5" ht="12.75" customHeight="1" x14ac:dyDescent="0.25">
      <c r="A94" s="974" t="s">
        <v>255</v>
      </c>
      <c r="B94" s="973" t="s">
        <v>256</v>
      </c>
      <c r="C94" s="972" t="s">
        <v>257</v>
      </c>
      <c r="D94" s="976">
        <f>SUM(D95:D97)</f>
        <v>1728620.6800000002</v>
      </c>
      <c r="E94" s="975">
        <f>SUM(E95:E97)</f>
        <v>1785919.45</v>
      </c>
    </row>
    <row r="95" spans="1:5" ht="12.75" customHeight="1" x14ac:dyDescent="0.25">
      <c r="A95" s="974" t="s">
        <v>258</v>
      </c>
      <c r="B95" s="973" t="s">
        <v>259</v>
      </c>
      <c r="C95" s="972" t="s">
        <v>260</v>
      </c>
      <c r="D95" s="971">
        <v>1542196.06</v>
      </c>
      <c r="E95" s="970">
        <v>1543788.72</v>
      </c>
    </row>
    <row r="96" spans="1:5" ht="12.75" customHeight="1" x14ac:dyDescent="0.25">
      <c r="A96" s="974" t="s">
        <v>261</v>
      </c>
      <c r="B96" s="973" t="s">
        <v>262</v>
      </c>
      <c r="C96" s="972" t="s">
        <v>263</v>
      </c>
      <c r="D96" s="971">
        <v>186424.62</v>
      </c>
      <c r="E96" s="970">
        <v>242130.73</v>
      </c>
    </row>
    <row r="97" spans="1:6" ht="12.75" customHeight="1" x14ac:dyDescent="0.25">
      <c r="A97" s="974" t="s">
        <v>264</v>
      </c>
      <c r="B97" s="973" t="s">
        <v>265</v>
      </c>
      <c r="C97" s="972" t="s">
        <v>266</v>
      </c>
      <c r="D97" s="971">
        <v>0</v>
      </c>
      <c r="E97" s="970">
        <v>0</v>
      </c>
      <c r="F97" s="980"/>
    </row>
    <row r="98" spans="1:6" ht="12.75" customHeight="1" x14ac:dyDescent="0.25">
      <c r="A98" s="977" t="s">
        <v>768</v>
      </c>
      <c r="B98" s="973" t="s">
        <v>267</v>
      </c>
      <c r="C98" s="972" t="s">
        <v>268</v>
      </c>
      <c r="D98" s="976">
        <f>SUM(D99:D101)</f>
        <v>6489.17</v>
      </c>
      <c r="E98" s="975">
        <f>SUM(E99:E101)</f>
        <v>10869.27</v>
      </c>
    </row>
    <row r="99" spans="1:6" ht="12.75" customHeight="1" x14ac:dyDescent="0.25">
      <c r="A99" s="974" t="s">
        <v>269</v>
      </c>
      <c r="B99" s="973" t="s">
        <v>270</v>
      </c>
      <c r="C99" s="972" t="s">
        <v>271</v>
      </c>
      <c r="D99" s="971" t="s">
        <v>1274</v>
      </c>
      <c r="E99" s="970">
        <v>10869.27</v>
      </c>
    </row>
    <row r="100" spans="1:6" ht="12.75" customHeight="1" x14ac:dyDescent="0.25">
      <c r="A100" s="974" t="s">
        <v>272</v>
      </c>
      <c r="B100" s="973" t="s">
        <v>273</v>
      </c>
      <c r="C100" s="972" t="s">
        <v>274</v>
      </c>
      <c r="D100" s="971">
        <v>6489.17</v>
      </c>
      <c r="E100" s="970" t="s">
        <v>1274</v>
      </c>
    </row>
    <row r="101" spans="1:6" ht="12.75" customHeight="1" x14ac:dyDescent="0.25">
      <c r="A101" s="974" t="s">
        <v>770</v>
      </c>
      <c r="B101" s="973" t="s">
        <v>275</v>
      </c>
      <c r="C101" s="972" t="s">
        <v>276</v>
      </c>
      <c r="D101" s="971">
        <v>0</v>
      </c>
      <c r="E101" s="970">
        <v>0</v>
      </c>
    </row>
    <row r="102" spans="1:6" ht="12.75" customHeight="1" x14ac:dyDescent="0.25">
      <c r="A102" s="974" t="s">
        <v>277</v>
      </c>
      <c r="B102" s="979" t="s">
        <v>278</v>
      </c>
      <c r="C102" s="972" t="s">
        <v>279</v>
      </c>
      <c r="D102" s="976">
        <f>D103+D105+D113+D137</f>
        <v>103704.04999999999</v>
      </c>
      <c r="E102" s="975">
        <f>E103+E105+E113+E137</f>
        <v>75063.94</v>
      </c>
    </row>
    <row r="103" spans="1:6" ht="12.75" customHeight="1" x14ac:dyDescent="0.25">
      <c r="A103" s="974" t="s">
        <v>280</v>
      </c>
      <c r="B103" s="973" t="s">
        <v>281</v>
      </c>
      <c r="C103" s="972" t="s">
        <v>282</v>
      </c>
      <c r="D103" s="971">
        <v>0</v>
      </c>
      <c r="E103" s="970">
        <v>0</v>
      </c>
    </row>
    <row r="104" spans="1:6" ht="12.75" customHeight="1" x14ac:dyDescent="0.25">
      <c r="A104" s="974" t="s">
        <v>283</v>
      </c>
      <c r="B104" s="973" t="s">
        <v>284</v>
      </c>
      <c r="C104" s="972" t="s">
        <v>285</v>
      </c>
      <c r="D104" s="971">
        <v>0</v>
      </c>
      <c r="E104" s="970">
        <v>0</v>
      </c>
    </row>
    <row r="105" spans="1:6" ht="12.75" customHeight="1" x14ac:dyDescent="0.25">
      <c r="A105" s="974" t="s">
        <v>286</v>
      </c>
      <c r="B105" s="973" t="s">
        <v>287</v>
      </c>
      <c r="C105" s="972" t="s">
        <v>288</v>
      </c>
      <c r="D105" s="976">
        <f>SUM(D106:D112)</f>
        <v>0</v>
      </c>
      <c r="E105" s="975">
        <f>SUM(E106:E112)</f>
        <v>0</v>
      </c>
    </row>
    <row r="106" spans="1:6" ht="12.75" customHeight="1" x14ac:dyDescent="0.25">
      <c r="A106" s="974" t="s">
        <v>289</v>
      </c>
      <c r="B106" s="973" t="s">
        <v>290</v>
      </c>
      <c r="C106" s="972" t="s">
        <v>291</v>
      </c>
      <c r="D106" s="971">
        <v>0</v>
      </c>
      <c r="E106" s="970">
        <v>0</v>
      </c>
    </row>
    <row r="107" spans="1:6" ht="12.75" customHeight="1" x14ac:dyDescent="0.25">
      <c r="A107" s="974" t="s">
        <v>622</v>
      </c>
      <c r="B107" s="973" t="s">
        <v>292</v>
      </c>
      <c r="C107" s="972" t="s">
        <v>293</v>
      </c>
      <c r="D107" s="971">
        <v>0</v>
      </c>
      <c r="E107" s="970">
        <v>0</v>
      </c>
    </row>
    <row r="108" spans="1:6" ht="12.75" customHeight="1" x14ac:dyDescent="0.25">
      <c r="A108" s="974" t="s">
        <v>294</v>
      </c>
      <c r="B108" s="973" t="s">
        <v>295</v>
      </c>
      <c r="C108" s="972" t="s">
        <v>296</v>
      </c>
      <c r="D108" s="971">
        <v>0</v>
      </c>
      <c r="E108" s="970">
        <v>0</v>
      </c>
    </row>
    <row r="109" spans="1:6" ht="12.75" customHeight="1" x14ac:dyDescent="0.25">
      <c r="A109" s="974" t="s">
        <v>297</v>
      </c>
      <c r="B109" s="973" t="s">
        <v>298</v>
      </c>
      <c r="C109" s="972" t="s">
        <v>299</v>
      </c>
      <c r="D109" s="971">
        <v>0</v>
      </c>
      <c r="E109" s="970">
        <v>0</v>
      </c>
    </row>
    <row r="110" spans="1:6" ht="12.75" customHeight="1" x14ac:dyDescent="0.25">
      <c r="A110" s="974" t="s">
        <v>300</v>
      </c>
      <c r="B110" s="973" t="s">
        <v>301</v>
      </c>
      <c r="C110" s="972" t="s">
        <v>302</v>
      </c>
      <c r="D110" s="971">
        <v>0</v>
      </c>
      <c r="E110" s="970">
        <v>0</v>
      </c>
    </row>
    <row r="111" spans="1:6" ht="12.75" customHeight="1" x14ac:dyDescent="0.25">
      <c r="A111" s="974" t="s">
        <v>303</v>
      </c>
      <c r="B111" s="973" t="s">
        <v>304</v>
      </c>
      <c r="C111" s="972" t="s">
        <v>305</v>
      </c>
      <c r="D111" s="971">
        <v>0</v>
      </c>
      <c r="E111" s="970">
        <v>0</v>
      </c>
    </row>
    <row r="112" spans="1:6" ht="12.75" customHeight="1" x14ac:dyDescent="0.25">
      <c r="A112" s="974" t="s">
        <v>306</v>
      </c>
      <c r="B112" s="973" t="s">
        <v>307</v>
      </c>
      <c r="C112" s="972" t="s">
        <v>308</v>
      </c>
      <c r="D112" s="971">
        <v>0</v>
      </c>
      <c r="E112" s="970">
        <v>0</v>
      </c>
    </row>
    <row r="113" spans="1:5" ht="12.75" customHeight="1" x14ac:dyDescent="0.25">
      <c r="A113" s="977" t="s">
        <v>309</v>
      </c>
      <c r="B113" s="973" t="s">
        <v>310</v>
      </c>
      <c r="C113" s="972" t="s">
        <v>311</v>
      </c>
      <c r="D113" s="976">
        <f>SUM(D114:D136)</f>
        <v>86391.37999999999</v>
      </c>
      <c r="E113" s="975">
        <f>SUM(E114:E136)</f>
        <v>59835.37</v>
      </c>
    </row>
    <row r="114" spans="1:5" ht="12.75" customHeight="1" x14ac:dyDescent="0.25">
      <c r="A114" s="974" t="s">
        <v>312</v>
      </c>
      <c r="B114" s="973" t="s">
        <v>313</v>
      </c>
      <c r="C114" s="972" t="s">
        <v>314</v>
      </c>
      <c r="D114" s="971">
        <v>4131.5600000000004</v>
      </c>
      <c r="E114" s="970">
        <v>3607.06</v>
      </c>
    </row>
    <row r="115" spans="1:5" ht="12.75" customHeight="1" x14ac:dyDescent="0.25">
      <c r="A115" s="974" t="s">
        <v>315</v>
      </c>
      <c r="B115" s="973" t="s">
        <v>316</v>
      </c>
      <c r="C115" s="972" t="s">
        <v>317</v>
      </c>
      <c r="D115" s="971">
        <v>0</v>
      </c>
      <c r="E115" s="970">
        <v>0</v>
      </c>
    </row>
    <row r="116" spans="1:5" ht="12.75" customHeight="1" x14ac:dyDescent="0.25">
      <c r="A116" s="974" t="s">
        <v>318</v>
      </c>
      <c r="B116" s="973" t="s">
        <v>319</v>
      </c>
      <c r="C116" s="972" t="s">
        <v>320</v>
      </c>
      <c r="D116" s="971">
        <v>3072.36</v>
      </c>
      <c r="E116" s="970">
        <v>2780.39</v>
      </c>
    </row>
    <row r="117" spans="1:5" ht="12.75" customHeight="1" x14ac:dyDescent="0.25">
      <c r="A117" s="974" t="s">
        <v>321</v>
      </c>
      <c r="B117" s="973" t="s">
        <v>322</v>
      </c>
      <c r="C117" s="972" t="s">
        <v>323</v>
      </c>
      <c r="D117" s="971">
        <v>0.24</v>
      </c>
      <c r="E117" s="970">
        <v>0.6</v>
      </c>
    </row>
    <row r="118" spans="1:5" ht="12.75" customHeight="1" x14ac:dyDescent="0.25">
      <c r="A118" s="974" t="s">
        <v>324</v>
      </c>
      <c r="B118" s="973" t="s">
        <v>325</v>
      </c>
      <c r="C118" s="972" t="s">
        <v>326</v>
      </c>
      <c r="D118" s="971">
        <v>31097.360000000001</v>
      </c>
      <c r="E118" s="970">
        <v>28016.98</v>
      </c>
    </row>
    <row r="119" spans="1:5" ht="12.75" customHeight="1" x14ac:dyDescent="0.25">
      <c r="A119" s="974" t="s">
        <v>327</v>
      </c>
      <c r="B119" s="973" t="s">
        <v>328</v>
      </c>
      <c r="C119" s="972" t="s">
        <v>329</v>
      </c>
      <c r="D119" s="971">
        <v>448.74</v>
      </c>
      <c r="E119" s="970">
        <v>221.9</v>
      </c>
    </row>
    <row r="120" spans="1:5" ht="12.75" customHeight="1" x14ac:dyDescent="0.25">
      <c r="A120" s="974" t="s">
        <v>676</v>
      </c>
      <c r="B120" s="973" t="s">
        <v>173</v>
      </c>
      <c r="C120" s="972" t="s">
        <v>330</v>
      </c>
      <c r="D120" s="971">
        <v>16500.55</v>
      </c>
      <c r="E120" s="970">
        <v>15512.64</v>
      </c>
    </row>
    <row r="121" spans="1:5" ht="12.75" customHeight="1" x14ac:dyDescent="0.25">
      <c r="A121" s="974" t="s">
        <v>331</v>
      </c>
      <c r="B121" s="973" t="s">
        <v>176</v>
      </c>
      <c r="C121" s="972" t="s">
        <v>332</v>
      </c>
      <c r="D121" s="971">
        <v>0</v>
      </c>
      <c r="E121" s="970">
        <v>1095.6199999999999</v>
      </c>
    </row>
    <row r="122" spans="1:5" ht="12.75" customHeight="1" x14ac:dyDescent="0.25">
      <c r="A122" s="974" t="s">
        <v>333</v>
      </c>
      <c r="B122" s="973" t="s">
        <v>179</v>
      </c>
      <c r="C122" s="972" t="s">
        <v>334</v>
      </c>
      <c r="D122" s="971">
        <v>6356.88</v>
      </c>
      <c r="E122" s="970">
        <v>5851.5</v>
      </c>
    </row>
    <row r="123" spans="1:5" ht="12.75" customHeight="1" x14ac:dyDescent="0.25">
      <c r="A123" s="974" t="s">
        <v>335</v>
      </c>
      <c r="B123" s="973" t="s">
        <v>182</v>
      </c>
      <c r="C123" s="972" t="s">
        <v>336</v>
      </c>
      <c r="D123" s="971">
        <v>2061.17</v>
      </c>
      <c r="E123" s="970">
        <v>413.9</v>
      </c>
    </row>
    <row r="124" spans="1:5" ht="12.75" customHeight="1" x14ac:dyDescent="0.25">
      <c r="A124" s="974" t="s">
        <v>337</v>
      </c>
      <c r="B124" s="973" t="s">
        <v>185</v>
      </c>
      <c r="C124" s="972" t="s">
        <v>338</v>
      </c>
      <c r="D124" s="971">
        <v>4.67</v>
      </c>
      <c r="E124" s="970">
        <v>3.8</v>
      </c>
    </row>
    <row r="125" spans="1:5" ht="12.75" customHeight="1" x14ac:dyDescent="0.25">
      <c r="A125" s="974" t="s">
        <v>339</v>
      </c>
      <c r="B125" s="973" t="s">
        <v>188</v>
      </c>
      <c r="C125" s="972" t="s">
        <v>340</v>
      </c>
      <c r="D125" s="971">
        <v>20401.900000000001</v>
      </c>
      <c r="E125" s="970">
        <v>54.56</v>
      </c>
    </row>
    <row r="126" spans="1:5" x14ac:dyDescent="0.25">
      <c r="A126" s="974" t="s">
        <v>764</v>
      </c>
      <c r="B126" s="973" t="s">
        <v>190</v>
      </c>
      <c r="C126" s="972" t="s">
        <v>341</v>
      </c>
      <c r="D126" s="971">
        <v>0</v>
      </c>
      <c r="E126" s="970">
        <v>0</v>
      </c>
    </row>
    <row r="127" spans="1:5" x14ac:dyDescent="0.25">
      <c r="A127" s="978" t="s">
        <v>769</v>
      </c>
      <c r="B127" s="973" t="s">
        <v>342</v>
      </c>
      <c r="C127" s="972" t="s">
        <v>343</v>
      </c>
      <c r="D127" s="971">
        <v>0</v>
      </c>
      <c r="E127" s="970">
        <v>0</v>
      </c>
    </row>
    <row r="128" spans="1:5" ht="12.75" customHeight="1" x14ac:dyDescent="0.25">
      <c r="A128" s="974" t="s">
        <v>344</v>
      </c>
      <c r="B128" s="973" t="s">
        <v>345</v>
      </c>
      <c r="C128" s="972" t="s">
        <v>346</v>
      </c>
      <c r="D128" s="971">
        <v>0</v>
      </c>
      <c r="E128" s="970">
        <v>0</v>
      </c>
    </row>
    <row r="129" spans="1:5" ht="12.75" customHeight="1" x14ac:dyDescent="0.25">
      <c r="A129" s="974" t="s">
        <v>347</v>
      </c>
      <c r="B129" s="973" t="s">
        <v>195</v>
      </c>
      <c r="C129" s="972" t="s">
        <v>348</v>
      </c>
      <c r="D129" s="971">
        <v>0</v>
      </c>
      <c r="E129" s="970">
        <v>0</v>
      </c>
    </row>
    <row r="130" spans="1:5" ht="12.75" customHeight="1" x14ac:dyDescent="0.25">
      <c r="A130" s="974" t="s">
        <v>349</v>
      </c>
      <c r="B130" s="973" t="s">
        <v>350</v>
      </c>
      <c r="C130" s="972" t="s">
        <v>351</v>
      </c>
      <c r="D130" s="971">
        <v>1468.14</v>
      </c>
      <c r="E130" s="970">
        <v>1547.47</v>
      </c>
    </row>
    <row r="131" spans="1:5" ht="12.75" customHeight="1" x14ac:dyDescent="0.25">
      <c r="A131" s="974" t="s">
        <v>352</v>
      </c>
      <c r="B131" s="973" t="s">
        <v>353</v>
      </c>
      <c r="C131" s="972" t="s">
        <v>354</v>
      </c>
      <c r="D131" s="971">
        <v>0</v>
      </c>
      <c r="E131" s="970">
        <v>0</v>
      </c>
    </row>
    <row r="132" spans="1:5" ht="12.75" customHeight="1" x14ac:dyDescent="0.25">
      <c r="A132" s="974" t="s">
        <v>355</v>
      </c>
      <c r="B132" s="973" t="s">
        <v>356</v>
      </c>
      <c r="C132" s="972" t="s">
        <v>357</v>
      </c>
      <c r="D132" s="971">
        <v>0</v>
      </c>
      <c r="E132" s="970">
        <v>0</v>
      </c>
    </row>
    <row r="133" spans="1:5" ht="12.75" customHeight="1" x14ac:dyDescent="0.25">
      <c r="A133" s="974" t="s">
        <v>623</v>
      </c>
      <c r="B133" s="973" t="s">
        <v>358</v>
      </c>
      <c r="C133" s="972" t="s">
        <v>359</v>
      </c>
      <c r="D133" s="971">
        <v>0</v>
      </c>
      <c r="E133" s="970">
        <v>0</v>
      </c>
    </row>
    <row r="134" spans="1:5" ht="12.75" customHeight="1" x14ac:dyDescent="0.25">
      <c r="A134" s="974" t="s">
        <v>360</v>
      </c>
      <c r="B134" s="973" t="s">
        <v>361</v>
      </c>
      <c r="C134" s="972" t="s">
        <v>362</v>
      </c>
      <c r="D134" s="971">
        <v>0</v>
      </c>
      <c r="E134" s="970">
        <v>0</v>
      </c>
    </row>
    <row r="135" spans="1:5" ht="12.75" customHeight="1" x14ac:dyDescent="0.25">
      <c r="A135" s="974" t="s">
        <v>363</v>
      </c>
      <c r="B135" s="973" t="s">
        <v>304</v>
      </c>
      <c r="C135" s="972" t="s">
        <v>364</v>
      </c>
      <c r="D135" s="971">
        <v>847.81</v>
      </c>
      <c r="E135" s="970">
        <v>728.95</v>
      </c>
    </row>
    <row r="136" spans="1:5" ht="12.75" customHeight="1" x14ac:dyDescent="0.25">
      <c r="A136" s="974" t="s">
        <v>365</v>
      </c>
      <c r="B136" s="973" t="s">
        <v>366</v>
      </c>
      <c r="C136" s="972" t="s">
        <v>367</v>
      </c>
      <c r="D136" s="971">
        <v>0</v>
      </c>
      <c r="E136" s="970">
        <v>0</v>
      </c>
    </row>
    <row r="137" spans="1:5" ht="12.75" customHeight="1" x14ac:dyDescent="0.25">
      <c r="A137" s="977" t="s">
        <v>368</v>
      </c>
      <c r="B137" s="973" t="s">
        <v>369</v>
      </c>
      <c r="C137" s="972" t="s">
        <v>370</v>
      </c>
      <c r="D137" s="976">
        <f>SUM(D138:D140)</f>
        <v>17312.670000000002</v>
      </c>
      <c r="E137" s="975">
        <f>SUM(E138:E140)</f>
        <v>15228.570000000002</v>
      </c>
    </row>
    <row r="138" spans="1:5" ht="12.75" customHeight="1" x14ac:dyDescent="0.25">
      <c r="A138" s="974" t="s">
        <v>371</v>
      </c>
      <c r="B138" s="973" t="s">
        <v>372</v>
      </c>
      <c r="C138" s="972" t="s">
        <v>373</v>
      </c>
      <c r="D138" s="971">
        <v>818.36</v>
      </c>
      <c r="E138" s="970">
        <v>814.84</v>
      </c>
    </row>
    <row r="139" spans="1:5" ht="12.75" customHeight="1" x14ac:dyDescent="0.25">
      <c r="A139" s="974" t="s">
        <v>374</v>
      </c>
      <c r="B139" s="973" t="s">
        <v>375</v>
      </c>
      <c r="C139" s="972" t="s">
        <v>376</v>
      </c>
      <c r="D139" s="971">
        <v>16441.990000000002</v>
      </c>
      <c r="E139" s="970">
        <v>14413.62</v>
      </c>
    </row>
    <row r="140" spans="1:5" ht="12.75" customHeight="1" x14ac:dyDescent="0.25">
      <c r="A140" s="974" t="s">
        <v>377</v>
      </c>
      <c r="B140" s="973" t="s">
        <v>378</v>
      </c>
      <c r="C140" s="972" t="s">
        <v>379</v>
      </c>
      <c r="D140" s="971">
        <v>52.32</v>
      </c>
      <c r="E140" s="970">
        <v>0.11</v>
      </c>
    </row>
    <row r="141" spans="1:5" ht="12.75" customHeight="1" thickBot="1" x14ac:dyDescent="0.3">
      <c r="A141" s="969" t="s">
        <v>380</v>
      </c>
      <c r="B141" s="968" t="s">
        <v>381</v>
      </c>
      <c r="C141" s="967" t="s">
        <v>382</v>
      </c>
      <c r="D141" s="966">
        <f>D93+D102</f>
        <v>1838813.9000000001</v>
      </c>
      <c r="E141" s="965">
        <f>E93+E102</f>
        <v>1871852.66</v>
      </c>
    </row>
    <row r="142" spans="1:5" ht="12.75" customHeight="1" x14ac:dyDescent="0.25">
      <c r="A142" s="964"/>
      <c r="B142" s="963"/>
      <c r="C142" s="963"/>
    </row>
    <row r="143" spans="1:5" ht="12.75" customHeight="1" x14ac:dyDescent="0.25">
      <c r="A143" s="964" t="s">
        <v>657</v>
      </c>
      <c r="B143" s="963"/>
      <c r="C143" s="963"/>
    </row>
    <row r="144" spans="1:5" ht="12.75" customHeight="1" x14ac:dyDescent="0.25">
      <c r="A144" s="962" t="s">
        <v>674</v>
      </c>
      <c r="B144" s="961"/>
      <c r="C144" s="961"/>
    </row>
    <row r="145" spans="1:1" x14ac:dyDescent="0.25">
      <c r="A145" s="61" t="s">
        <v>1273</v>
      </c>
    </row>
    <row r="146" spans="1:1" ht="12.75" customHeight="1" x14ac:dyDescent="0.25">
      <c r="A146" s="60" t="s">
        <v>675</v>
      </c>
    </row>
    <row r="147" spans="1:1" ht="12.75" customHeight="1" x14ac:dyDescent="0.25">
      <c r="A147" s="61" t="s">
        <v>1213</v>
      </c>
    </row>
  </sheetData>
  <mergeCells count="6">
    <mergeCell ref="A4:E4"/>
    <mergeCell ref="A3:E3"/>
    <mergeCell ref="B92:C92"/>
    <mergeCell ref="B6:C6"/>
    <mergeCell ref="A1:E1"/>
    <mergeCell ref="A2:E2"/>
  </mergeCells>
  <pageMargins left="0.59055118110236227" right="0" top="0.39370078740157483" bottom="0.19685039370078741" header="0" footer="0"/>
  <pageSetup paperSize="9" scale="78" orientation="portrait" r:id="rId1"/>
  <headerFooter alignWithMargins="0"/>
  <rowBreaks count="1" manualBreakCount="1">
    <brk id="77"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S19"/>
  <sheetViews>
    <sheetView zoomScaleNormal="100" workbookViewId="0"/>
  </sheetViews>
  <sheetFormatPr defaultColWidth="26.28515625" defaultRowHeight="12.75" x14ac:dyDescent="0.25"/>
  <cols>
    <col min="1" max="1" width="4.28515625" style="105" customWidth="1"/>
    <col min="2" max="2" width="14.28515625" style="105" customWidth="1"/>
    <col min="3" max="3" width="28" style="105" bestFit="1" customWidth="1"/>
    <col min="4" max="4" width="12.140625" style="105" customWidth="1"/>
    <col min="5" max="5" width="10.7109375" style="105" customWidth="1"/>
    <col min="6" max="6" width="11.5703125" style="105" customWidth="1"/>
    <col min="7" max="7" width="10.7109375" style="105" customWidth="1"/>
    <col min="8" max="8" width="11.7109375" style="105" customWidth="1"/>
    <col min="9" max="9" width="10.7109375" style="105" customWidth="1"/>
    <col min="10" max="10" width="12.5703125" style="105" customWidth="1"/>
    <col min="11" max="11" width="2.28515625" style="105" customWidth="1"/>
    <col min="12" max="12" width="10.7109375" style="105" customWidth="1"/>
    <col min="13" max="13" width="14" style="105" customWidth="1"/>
    <col min="14" max="14" width="10.7109375" style="105" customWidth="1"/>
    <col min="15" max="15" width="8.85546875" style="105" customWidth="1"/>
    <col min="16" max="253" width="9.140625" style="105" customWidth="1"/>
    <col min="254" max="254" width="3.28515625" style="105" customWidth="1"/>
    <col min="255" max="255" width="11.85546875" style="105" customWidth="1"/>
    <col min="256" max="16384" width="26.28515625" style="105"/>
  </cols>
  <sheetData>
    <row r="1" spans="1:19" s="15" customFormat="1" ht="15.75" x14ac:dyDescent="0.25">
      <c r="A1" s="102" t="s">
        <v>1341</v>
      </c>
      <c r="C1" s="14"/>
      <c r="D1" s="14"/>
      <c r="E1" s="14"/>
      <c r="F1" s="14"/>
      <c r="G1" s="14"/>
      <c r="H1" s="103"/>
      <c r="I1" s="14"/>
      <c r="J1" s="14"/>
      <c r="K1" s="104"/>
      <c r="L1" s="14"/>
      <c r="M1" s="14"/>
      <c r="N1" s="14"/>
      <c r="P1" s="14"/>
      <c r="Q1" s="14"/>
      <c r="R1" s="14"/>
      <c r="S1" s="14"/>
    </row>
    <row r="2" spans="1:19" ht="13.5" thickBot="1" x14ac:dyDescent="0.3">
      <c r="B2" s="106"/>
      <c r="C2" s="106"/>
      <c r="D2" s="107"/>
      <c r="E2" s="107"/>
      <c r="F2" s="106"/>
      <c r="G2" s="106"/>
      <c r="H2" s="106"/>
      <c r="I2" s="106"/>
      <c r="K2" s="104"/>
      <c r="L2" s="106"/>
      <c r="M2" s="106"/>
      <c r="N2" s="108" t="s">
        <v>517</v>
      </c>
      <c r="O2" s="106"/>
      <c r="P2" s="106"/>
      <c r="Q2" s="106"/>
      <c r="R2" s="106"/>
      <c r="S2" s="106"/>
    </row>
    <row r="3" spans="1:19" ht="27" customHeight="1" x14ac:dyDescent="0.25">
      <c r="A3" s="1265" t="s">
        <v>497</v>
      </c>
      <c r="B3" s="1268" t="s">
        <v>609</v>
      </c>
      <c r="C3" s="1271" t="s">
        <v>833</v>
      </c>
      <c r="D3" s="1259" t="s">
        <v>864</v>
      </c>
      <c r="E3" s="1240"/>
      <c r="F3" s="1240" t="s">
        <v>798</v>
      </c>
      <c r="G3" s="1240"/>
      <c r="H3" s="1240" t="s">
        <v>834</v>
      </c>
      <c r="I3" s="1240"/>
      <c r="J3" s="1235" t="s">
        <v>823</v>
      </c>
      <c r="K3" s="104"/>
      <c r="L3" s="1248" t="s">
        <v>875</v>
      </c>
      <c r="M3" s="1261" t="s">
        <v>951</v>
      </c>
      <c r="N3" s="1263" t="s">
        <v>800</v>
      </c>
    </row>
    <row r="4" spans="1:19" ht="15" customHeight="1" x14ac:dyDescent="0.25">
      <c r="A4" s="1266"/>
      <c r="B4" s="1269"/>
      <c r="C4" s="1272"/>
      <c r="D4" s="216" t="s">
        <v>865</v>
      </c>
      <c r="E4" s="215" t="s">
        <v>664</v>
      </c>
      <c r="F4" s="216" t="s">
        <v>860</v>
      </c>
      <c r="G4" s="215" t="s">
        <v>664</v>
      </c>
      <c r="H4" s="216" t="s">
        <v>835</v>
      </c>
      <c r="I4" s="215" t="s">
        <v>664</v>
      </c>
      <c r="J4" s="1236"/>
      <c r="K4" s="104"/>
      <c r="L4" s="1249"/>
      <c r="M4" s="1262"/>
      <c r="N4" s="1264"/>
    </row>
    <row r="5" spans="1:19" ht="12.75" customHeight="1" thickBot="1" x14ac:dyDescent="0.3">
      <c r="A5" s="1267"/>
      <c r="B5" s="1270"/>
      <c r="C5" s="1273"/>
      <c r="D5" s="278" t="s">
        <v>577</v>
      </c>
      <c r="E5" s="219" t="s">
        <v>578</v>
      </c>
      <c r="F5" s="219" t="s">
        <v>579</v>
      </c>
      <c r="G5" s="219" t="s">
        <v>580</v>
      </c>
      <c r="H5" s="219" t="s">
        <v>661</v>
      </c>
      <c r="I5" s="219" t="s">
        <v>662</v>
      </c>
      <c r="J5" s="222" t="s">
        <v>801</v>
      </c>
      <c r="K5" s="104"/>
      <c r="L5" s="223" t="s">
        <v>584</v>
      </c>
      <c r="M5" s="220" t="s">
        <v>585</v>
      </c>
      <c r="N5" s="222" t="s">
        <v>836</v>
      </c>
    </row>
    <row r="6" spans="1:19" ht="12.75" customHeight="1" x14ac:dyDescent="0.25">
      <c r="A6" s="320"/>
      <c r="B6" s="321" t="s">
        <v>713</v>
      </c>
      <c r="C6" s="322"/>
      <c r="D6" s="316"/>
      <c r="E6" s="317"/>
      <c r="F6" s="317"/>
      <c r="G6" s="317"/>
      <c r="H6" s="237"/>
      <c r="I6" s="237"/>
      <c r="J6" s="239"/>
      <c r="K6" s="129"/>
      <c r="L6" s="316"/>
      <c r="M6" s="317"/>
      <c r="N6" s="239"/>
    </row>
    <row r="7" spans="1:19" ht="12.75" customHeight="1" x14ac:dyDescent="0.25">
      <c r="A7" s="315">
        <v>1</v>
      </c>
      <c r="B7" s="319" t="s">
        <v>1272</v>
      </c>
      <c r="C7" s="318" t="s">
        <v>1338</v>
      </c>
      <c r="D7" s="316">
        <v>0</v>
      </c>
      <c r="E7" s="317">
        <f>D7</f>
        <v>0</v>
      </c>
      <c r="F7" s="317">
        <v>27318</v>
      </c>
      <c r="G7" s="317">
        <f>F7</f>
        <v>27318</v>
      </c>
      <c r="H7" s="237">
        <f t="shared" ref="H7:I9" si="0">+D7+F7</f>
        <v>27318</v>
      </c>
      <c r="I7" s="237">
        <f t="shared" si="0"/>
        <v>27318</v>
      </c>
      <c r="J7" s="239">
        <f>+H7-I7</f>
        <v>0</v>
      </c>
      <c r="K7" s="129"/>
      <c r="L7" s="316">
        <f>0+86.72112</f>
        <v>86.721119999999999</v>
      </c>
      <c r="M7" s="317">
        <v>0</v>
      </c>
      <c r="N7" s="239">
        <f>+I7+L7+M7</f>
        <v>27404.721119999998</v>
      </c>
    </row>
    <row r="8" spans="1:19" ht="12.75" customHeight="1" x14ac:dyDescent="0.25">
      <c r="A8" s="315">
        <f>A7+1</f>
        <v>2</v>
      </c>
      <c r="B8" s="319" t="s">
        <v>1339</v>
      </c>
      <c r="C8" s="318" t="s">
        <v>1340</v>
      </c>
      <c r="D8" s="316">
        <v>0</v>
      </c>
      <c r="E8" s="317">
        <v>0</v>
      </c>
      <c r="F8" s="317">
        <v>0</v>
      </c>
      <c r="G8" s="317">
        <f>F8</f>
        <v>0</v>
      </c>
      <c r="H8" s="237">
        <f t="shared" si="0"/>
        <v>0</v>
      </c>
      <c r="I8" s="237">
        <f t="shared" si="0"/>
        <v>0</v>
      </c>
      <c r="J8" s="239">
        <f>+H8-I8</f>
        <v>0</v>
      </c>
      <c r="K8" s="129"/>
      <c r="L8" s="316">
        <v>-93</v>
      </c>
      <c r="M8" s="317">
        <v>0</v>
      </c>
      <c r="N8" s="239">
        <f>+I8+L8+M8</f>
        <v>-93</v>
      </c>
    </row>
    <row r="9" spans="1:19" ht="12.75" customHeight="1" thickBot="1" x14ac:dyDescent="0.3">
      <c r="A9" s="315">
        <f>A8+1</f>
        <v>3</v>
      </c>
      <c r="B9" s="319"/>
      <c r="C9" s="318"/>
      <c r="D9" s="316">
        <v>0</v>
      </c>
      <c r="E9" s="317">
        <v>0</v>
      </c>
      <c r="F9" s="317">
        <v>0</v>
      </c>
      <c r="G9" s="317">
        <v>0</v>
      </c>
      <c r="H9" s="237">
        <f t="shared" si="0"/>
        <v>0</v>
      </c>
      <c r="I9" s="237">
        <f t="shared" si="0"/>
        <v>0</v>
      </c>
      <c r="J9" s="239">
        <f>+H9-I9</f>
        <v>0</v>
      </c>
      <c r="K9" s="129"/>
      <c r="L9" s="316"/>
      <c r="M9" s="317">
        <v>0</v>
      </c>
      <c r="N9" s="239">
        <f>+I9+L9+M9</f>
        <v>0</v>
      </c>
    </row>
    <row r="10" spans="1:19" s="109" customFormat="1" ht="12.75" customHeight="1" thickBot="1" x14ac:dyDescent="0.3">
      <c r="A10" s="323"/>
      <c r="B10" s="324" t="s">
        <v>732</v>
      </c>
      <c r="C10" s="325"/>
      <c r="D10" s="273">
        <f t="shared" ref="D10:J10" si="1">SUM(D6:D9)</f>
        <v>0</v>
      </c>
      <c r="E10" s="270">
        <f t="shared" si="1"/>
        <v>0</v>
      </c>
      <c r="F10" s="270">
        <f t="shared" si="1"/>
        <v>27318</v>
      </c>
      <c r="G10" s="270">
        <f t="shared" si="1"/>
        <v>27318</v>
      </c>
      <c r="H10" s="270">
        <f t="shared" si="1"/>
        <v>27318</v>
      </c>
      <c r="I10" s="270">
        <f t="shared" si="1"/>
        <v>27318</v>
      </c>
      <c r="J10" s="271">
        <f t="shared" si="1"/>
        <v>0</v>
      </c>
      <c r="K10" s="130"/>
      <c r="L10" s="273">
        <f>SUM(L6:L9)</f>
        <v>-6.2788800000000009</v>
      </c>
      <c r="M10" s="270">
        <f>SUM(M6:M9)</f>
        <v>0</v>
      </c>
      <c r="N10" s="271">
        <f>SUM(N6:N9)</f>
        <v>27311.721119999998</v>
      </c>
    </row>
    <row r="11" spans="1:19" s="124" customFormat="1" ht="15" x14ac:dyDescent="0.25">
      <c r="A11" s="120"/>
      <c r="B11" s="121"/>
      <c r="C11" s="121"/>
      <c r="D11" s="122"/>
      <c r="E11" s="122"/>
      <c r="F11" s="122"/>
      <c r="G11" s="122"/>
      <c r="H11" s="122"/>
      <c r="I11" s="122"/>
      <c r="J11" s="122"/>
      <c r="K11" s="123"/>
      <c r="L11" s="122"/>
      <c r="M11" s="122"/>
      <c r="N11" s="122"/>
    </row>
    <row r="12" spans="1:19" ht="18" customHeight="1" x14ac:dyDescent="0.25">
      <c r="A12" s="65" t="s">
        <v>618</v>
      </c>
    </row>
    <row r="13" spans="1:19" ht="30" customHeight="1" x14ac:dyDescent="0.25">
      <c r="A13" s="1260" t="s">
        <v>1342</v>
      </c>
      <c r="B13" s="1260"/>
      <c r="C13" s="1260"/>
      <c r="D13" s="1260"/>
      <c r="E13" s="1260"/>
      <c r="F13" s="1260"/>
      <c r="G13" s="1260"/>
      <c r="H13" s="1260"/>
      <c r="I13" s="1260"/>
      <c r="J13" s="1260"/>
      <c r="K13" s="1260"/>
      <c r="L13" s="1260"/>
      <c r="M13" s="1260"/>
      <c r="N13" s="1260"/>
    </row>
    <row r="14" spans="1:19" ht="14.25" customHeight="1" x14ac:dyDescent="0.25">
      <c r="A14" s="1260" t="s">
        <v>1343</v>
      </c>
      <c r="B14" s="1260"/>
      <c r="C14" s="1260"/>
      <c r="D14" s="1260"/>
      <c r="E14" s="1260"/>
      <c r="F14" s="1260"/>
      <c r="G14" s="1260"/>
      <c r="H14" s="1260"/>
      <c r="I14" s="1260"/>
      <c r="J14" s="1260"/>
      <c r="K14" s="1260"/>
      <c r="L14" s="1260"/>
      <c r="M14" s="1260"/>
      <c r="N14" s="1260"/>
    </row>
    <row r="15" spans="1:19" ht="28.5" customHeight="1" x14ac:dyDescent="0.25">
      <c r="A15" s="1260" t="s">
        <v>866</v>
      </c>
      <c r="B15" s="1260"/>
      <c r="C15" s="1260"/>
      <c r="D15" s="1260"/>
      <c r="E15" s="1260"/>
      <c r="F15" s="1260"/>
      <c r="G15" s="1260"/>
      <c r="H15" s="1260"/>
      <c r="I15" s="1260"/>
      <c r="J15" s="1260"/>
      <c r="K15" s="1260"/>
      <c r="L15" s="1260"/>
      <c r="M15" s="1260"/>
      <c r="N15" s="1260"/>
    </row>
    <row r="16" spans="1:19" x14ac:dyDescent="0.25">
      <c r="A16" s="1260" t="s">
        <v>876</v>
      </c>
      <c r="B16" s="1260"/>
      <c r="C16" s="1260"/>
      <c r="D16" s="1260"/>
      <c r="E16" s="1260"/>
      <c r="F16" s="1260"/>
      <c r="G16" s="1260"/>
      <c r="H16" s="1260"/>
      <c r="I16" s="1260"/>
      <c r="J16" s="1260"/>
      <c r="K16" s="1260"/>
      <c r="L16" s="1260"/>
      <c r="M16" s="1260"/>
      <c r="N16" s="1260"/>
    </row>
    <row r="17" spans="1:14" x14ac:dyDescent="0.25">
      <c r="A17" s="1260" t="s">
        <v>907</v>
      </c>
      <c r="B17" s="1260"/>
      <c r="C17" s="1260"/>
      <c r="D17" s="1260"/>
      <c r="E17" s="1260"/>
      <c r="F17" s="1260"/>
      <c r="G17" s="1260"/>
      <c r="H17" s="1260"/>
      <c r="I17" s="1260"/>
      <c r="J17" s="1260"/>
      <c r="K17" s="1260"/>
      <c r="L17" s="1260"/>
      <c r="M17" s="1260"/>
      <c r="N17" s="1260"/>
    </row>
    <row r="19" spans="1:14" x14ac:dyDescent="0.25">
      <c r="A19" s="105" t="s">
        <v>822</v>
      </c>
    </row>
  </sheetData>
  <sheetProtection insertRows="0" deleteRows="0"/>
  <mergeCells count="15">
    <mergeCell ref="A17:N17"/>
    <mergeCell ref="A14:N14"/>
    <mergeCell ref="A15:N15"/>
    <mergeCell ref="A16:N16"/>
    <mergeCell ref="M3:M4"/>
    <mergeCell ref="N3:N4"/>
    <mergeCell ref="H3:I3"/>
    <mergeCell ref="A13:N13"/>
    <mergeCell ref="J3:J4"/>
    <mergeCell ref="F3:G3"/>
    <mergeCell ref="A3:A5"/>
    <mergeCell ref="B3:B5"/>
    <mergeCell ref="C3:C5"/>
    <mergeCell ref="D3:E3"/>
    <mergeCell ref="L3:L4"/>
  </mergeCells>
  <phoneticPr fontId="15" type="noConversion"/>
  <printOptions horizontalCentered="1"/>
  <pageMargins left="0.19685039370078741" right="0.19685039370078741" top="0.98425196850393704" bottom="0.98425196850393704" header="0.51181102362204722" footer="0.51181102362204722"/>
  <pageSetup paperSize="9" scale="87" orientation="landscape"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07F52"/>
    <pageSetUpPr fitToPage="1"/>
  </sheetPr>
  <dimension ref="A1:AB60"/>
  <sheetViews>
    <sheetView zoomScale="90" zoomScaleNormal="90" workbookViewId="0">
      <pane xSplit="6" ySplit="5" topLeftCell="G6" activePane="bottomRight" state="frozen"/>
      <selection activeCell="F52" sqref="F52"/>
      <selection pane="topRight" activeCell="F52" sqref="F52"/>
      <selection pane="bottomLeft" activeCell="F52" sqref="F52"/>
      <selection pane="bottomRight"/>
    </sheetView>
  </sheetViews>
  <sheetFormatPr defaultColWidth="9.42578125" defaultRowHeight="15" x14ac:dyDescent="0.25"/>
  <cols>
    <col min="1" max="1" width="4" style="55" customWidth="1"/>
    <col min="2" max="2" width="2.28515625" style="55" customWidth="1"/>
    <col min="3" max="3" width="4.7109375" style="55" customWidth="1"/>
    <col min="4" max="4" width="7.7109375" style="55" customWidth="1"/>
    <col min="5" max="5" width="41.5703125" style="55" customWidth="1"/>
    <col min="6" max="6" width="5.42578125" style="55" customWidth="1"/>
    <col min="7" max="7" width="12.42578125" style="55" customWidth="1"/>
    <col min="8" max="8" width="11.140625" style="55" bestFit="1" customWidth="1"/>
    <col min="9" max="9" width="11" style="55" customWidth="1"/>
    <col min="10" max="10" width="9.7109375" style="55" customWidth="1"/>
    <col min="11" max="11" width="11.28515625" style="55" customWidth="1"/>
    <col min="12" max="12" width="9.42578125" style="55" customWidth="1"/>
    <col min="13" max="13" width="10.85546875" style="55" customWidth="1"/>
    <col min="14" max="14" width="11.42578125" style="55" bestFit="1" customWidth="1"/>
    <col min="15" max="15" width="10.42578125" style="55" customWidth="1"/>
    <col min="16" max="16" width="10.85546875" style="55" customWidth="1"/>
    <col min="17" max="17" width="2.140625" style="55" customWidth="1"/>
    <col min="18" max="19" width="10.140625" style="55" customWidth="1"/>
    <col min="20" max="20" width="9.140625" style="55" customWidth="1"/>
    <col min="21" max="21" width="10.85546875" style="55" customWidth="1"/>
    <col min="22" max="22" width="11.42578125" style="55" customWidth="1"/>
    <col min="23" max="23" width="2" style="2" customWidth="1"/>
    <col min="24" max="24" width="10.85546875" style="55" customWidth="1"/>
    <col min="25" max="25" width="11.42578125" style="55" customWidth="1"/>
    <col min="26" max="26" width="2" style="2" customWidth="1"/>
    <col min="27" max="27" width="10.85546875" style="55" customWidth="1"/>
    <col min="28" max="28" width="11.42578125" style="55" customWidth="1"/>
    <col min="29" max="225" width="9.140625" style="55" customWidth="1"/>
    <col min="226" max="226" width="5.28515625" style="55" customWidth="1"/>
    <col min="227" max="227" width="5.42578125" style="55" customWidth="1"/>
    <col min="228" max="228" width="7.7109375" style="55" customWidth="1"/>
    <col min="229" max="229" width="39.42578125" style="55" customWidth="1"/>
    <col min="230" max="230" width="11.28515625" style="55" customWidth="1"/>
    <col min="231" max="16384" width="9.42578125" style="55"/>
  </cols>
  <sheetData>
    <row r="1" spans="1:28" ht="15.75" x14ac:dyDescent="0.25">
      <c r="A1" s="326" t="s">
        <v>1352</v>
      </c>
      <c r="C1" s="110"/>
      <c r="D1" s="110"/>
      <c r="E1" s="110"/>
      <c r="F1" s="110"/>
      <c r="S1" s="859" t="s">
        <v>1235</v>
      </c>
    </row>
    <row r="2" spans="1:28" ht="16.5" thickBot="1" x14ac:dyDescent="0.3">
      <c r="B2" s="110"/>
      <c r="C2" s="110"/>
      <c r="D2" s="110"/>
      <c r="S2" s="112" t="s">
        <v>524</v>
      </c>
    </row>
    <row r="3" spans="1:28" s="213" customFormat="1" ht="50.25" customHeight="1" x14ac:dyDescent="0.25">
      <c r="A3" s="1224" t="s">
        <v>497</v>
      </c>
      <c r="B3" s="1229" t="s">
        <v>878</v>
      </c>
      <c r="C3" s="1229"/>
      <c r="D3" s="1229"/>
      <c r="E3" s="1229"/>
      <c r="F3" s="1291" t="s">
        <v>882</v>
      </c>
      <c r="G3" s="1259" t="s">
        <v>797</v>
      </c>
      <c r="H3" s="1240"/>
      <c r="I3" s="1240" t="s">
        <v>798</v>
      </c>
      <c r="J3" s="1240"/>
      <c r="K3" s="1240" t="s">
        <v>799</v>
      </c>
      <c r="L3" s="1277"/>
      <c r="M3" s="1278" t="s">
        <v>881</v>
      </c>
      <c r="N3" s="1280" t="s">
        <v>1203</v>
      </c>
      <c r="O3" s="1261" t="s">
        <v>1002</v>
      </c>
      <c r="P3" s="1235" t="s">
        <v>1003</v>
      </c>
      <c r="R3" s="1248" t="s">
        <v>954</v>
      </c>
      <c r="S3" s="1294" t="s">
        <v>800</v>
      </c>
      <c r="U3" s="1241" t="s">
        <v>815</v>
      </c>
      <c r="V3" s="1274"/>
      <c r="W3" s="816"/>
      <c r="X3" s="1241" t="s">
        <v>816</v>
      </c>
      <c r="Y3" s="1274"/>
      <c r="Z3" s="816"/>
      <c r="AA3" s="1241" t="s">
        <v>817</v>
      </c>
      <c r="AB3" s="1274"/>
    </row>
    <row r="4" spans="1:28" s="213" customFormat="1" ht="15" customHeight="1" x14ac:dyDescent="0.25">
      <c r="A4" s="1225"/>
      <c r="B4" s="1231"/>
      <c r="C4" s="1231"/>
      <c r="D4" s="1231"/>
      <c r="E4" s="1231"/>
      <c r="F4" s="1292"/>
      <c r="G4" s="216" t="s">
        <v>879</v>
      </c>
      <c r="H4" s="215" t="s">
        <v>880</v>
      </c>
      <c r="I4" s="215" t="s">
        <v>659</v>
      </c>
      <c r="J4" s="215" t="s">
        <v>664</v>
      </c>
      <c r="K4" s="215" t="s">
        <v>659</v>
      </c>
      <c r="L4" s="277" t="s">
        <v>664</v>
      </c>
      <c r="M4" s="1279"/>
      <c r="N4" s="1281"/>
      <c r="O4" s="1262"/>
      <c r="P4" s="1236"/>
      <c r="R4" s="1249"/>
      <c r="S4" s="1295"/>
      <c r="U4" s="214" t="s">
        <v>714</v>
      </c>
      <c r="V4" s="790" t="s">
        <v>715</v>
      </c>
      <c r="W4" s="816"/>
      <c r="X4" s="214" t="s">
        <v>714</v>
      </c>
      <c r="Y4" s="790" t="s">
        <v>715</v>
      </c>
      <c r="Z4" s="816"/>
      <c r="AA4" s="214" t="s">
        <v>714</v>
      </c>
      <c r="AB4" s="790" t="s">
        <v>715</v>
      </c>
    </row>
    <row r="5" spans="1:28" s="213" customFormat="1" ht="17.25" customHeight="1" thickBot="1" x14ac:dyDescent="0.3">
      <c r="A5" s="1226"/>
      <c r="B5" s="1233"/>
      <c r="C5" s="1233"/>
      <c r="D5" s="1233"/>
      <c r="E5" s="1233"/>
      <c r="F5" s="1293"/>
      <c r="G5" s="278" t="s">
        <v>577</v>
      </c>
      <c r="H5" s="219" t="s">
        <v>578</v>
      </c>
      <c r="I5" s="219" t="s">
        <v>579</v>
      </c>
      <c r="J5" s="219" t="s">
        <v>580</v>
      </c>
      <c r="K5" s="219" t="s">
        <v>661</v>
      </c>
      <c r="L5" s="279" t="s">
        <v>662</v>
      </c>
      <c r="M5" s="281" t="s">
        <v>868</v>
      </c>
      <c r="N5" s="280" t="s">
        <v>877</v>
      </c>
      <c r="O5" s="220" t="s">
        <v>801</v>
      </c>
      <c r="P5" s="222" t="s">
        <v>584</v>
      </c>
      <c r="R5" s="223" t="s">
        <v>585</v>
      </c>
      <c r="S5" s="327" t="s">
        <v>979</v>
      </c>
      <c r="U5" s="341"/>
      <c r="V5" s="844"/>
      <c r="W5" s="816"/>
      <c r="X5" s="341"/>
      <c r="Y5" s="844"/>
      <c r="Z5" s="816"/>
      <c r="AA5" s="341"/>
      <c r="AB5" s="844"/>
    </row>
    <row r="6" spans="1:28" s="228" customFormat="1" ht="16.5" customHeight="1" x14ac:dyDescent="0.25">
      <c r="A6" s="328">
        <v>1</v>
      </c>
      <c r="B6" s="1288" t="s">
        <v>716</v>
      </c>
      <c r="C6" s="1288"/>
      <c r="D6" s="1288"/>
      <c r="E6" s="1288"/>
      <c r="F6" s="329"/>
      <c r="G6" s="845">
        <f t="shared" ref="G6:L6" si="0">SUM(G7,G16)</f>
        <v>52604.365599999997</v>
      </c>
      <c r="H6" s="877">
        <f t="shared" si="0"/>
        <v>52604.365599999997</v>
      </c>
      <c r="I6" s="877">
        <f t="shared" si="0"/>
        <v>8418.7766999999985</v>
      </c>
      <c r="J6" s="877">
        <f t="shared" si="0"/>
        <v>8418.7766999999985</v>
      </c>
      <c r="K6" s="877">
        <f t="shared" si="0"/>
        <v>61023.142299999992</v>
      </c>
      <c r="L6" s="877">
        <f t="shared" si="0"/>
        <v>61023.142299999992</v>
      </c>
      <c r="M6" s="877"/>
      <c r="N6" s="877">
        <f>SUM(N7,N16)</f>
        <v>8618.9790299999986</v>
      </c>
      <c r="O6" s="877">
        <f>SUM(O7,O16)</f>
        <v>0</v>
      </c>
      <c r="P6" s="846">
        <f>SUM(P7,P16)</f>
        <v>7454.1247800000001</v>
      </c>
      <c r="Q6" s="878"/>
      <c r="R6" s="879">
        <f>R7+R16</f>
        <v>0.27768999999999999</v>
      </c>
      <c r="S6" s="880">
        <f>L6+R6</f>
        <v>61023.419989999995</v>
      </c>
      <c r="T6" s="798"/>
      <c r="U6" s="845">
        <f>SUM(U7,U16)</f>
        <v>43202.939129999999</v>
      </c>
      <c r="V6" s="846">
        <f>SUM(V7,V16)</f>
        <v>1973.23883</v>
      </c>
      <c r="W6" s="798"/>
      <c r="X6" s="845">
        <f>SUM(X7,X16)</f>
        <v>28272.285920000002</v>
      </c>
      <c r="Y6" s="846">
        <f>SUM(Y7,Y16)</f>
        <v>1973.23883</v>
      </c>
      <c r="Z6" s="798"/>
      <c r="AA6" s="845">
        <f>SUM(AA7,AA16)</f>
        <v>14930.65321</v>
      </c>
      <c r="AB6" s="846">
        <f>SUM(AB7,AB16)</f>
        <v>0</v>
      </c>
    </row>
    <row r="7" spans="1:28" s="798" customFormat="1" ht="12.75" x14ac:dyDescent="0.25">
      <c r="A7" s="791">
        <v>2</v>
      </c>
      <c r="B7" s="1282" t="s">
        <v>973</v>
      </c>
      <c r="C7" s="1283"/>
      <c r="D7" s="1283"/>
      <c r="E7" s="1284"/>
      <c r="F7" s="792"/>
      <c r="G7" s="793">
        <f t="shared" ref="G7:L7" si="1">G8+G11</f>
        <v>39121.209059999994</v>
      </c>
      <c r="H7" s="794">
        <f t="shared" si="1"/>
        <v>39121.209059999994</v>
      </c>
      <c r="I7" s="794">
        <f t="shared" si="1"/>
        <v>-126.5</v>
      </c>
      <c r="J7" s="794">
        <f t="shared" si="1"/>
        <v>-126.5</v>
      </c>
      <c r="K7" s="794">
        <f t="shared" si="1"/>
        <v>38994.709059999994</v>
      </c>
      <c r="L7" s="794">
        <f t="shared" si="1"/>
        <v>38994.709059999994</v>
      </c>
      <c r="M7" s="794"/>
      <c r="N7" s="794">
        <f>N8+N11</f>
        <v>8618.9790299999986</v>
      </c>
      <c r="O7" s="794">
        <f>O8+O11</f>
        <v>0</v>
      </c>
      <c r="P7" s="795">
        <f>P8+P11</f>
        <v>7454.1247800000001</v>
      </c>
      <c r="Q7" s="796"/>
      <c r="R7" s="797">
        <f>R8+R11</f>
        <v>6.495999999999999E-2</v>
      </c>
      <c r="S7" s="795">
        <f>S8+S11</f>
        <v>38994.774019999997</v>
      </c>
      <c r="U7" s="797">
        <f>U8+U11</f>
        <v>28962.88308</v>
      </c>
      <c r="V7" s="795">
        <f>V8+V11</f>
        <v>70</v>
      </c>
      <c r="X7" s="797">
        <f>X8+X11</f>
        <v>28272.285920000002</v>
      </c>
      <c r="Y7" s="795">
        <f>Y8+Y11</f>
        <v>70</v>
      </c>
      <c r="AA7" s="797">
        <f>AA8+AA11</f>
        <v>690.59715999999935</v>
      </c>
      <c r="AB7" s="795">
        <f>AB8+AB11</f>
        <v>0</v>
      </c>
    </row>
    <row r="8" spans="1:28" s="798" customFormat="1" ht="12.75" x14ac:dyDescent="0.25">
      <c r="A8" s="799">
        <f>A7+1</f>
        <v>3</v>
      </c>
      <c r="B8" s="800"/>
      <c r="C8" s="1285" t="s">
        <v>726</v>
      </c>
      <c r="D8" s="1286"/>
      <c r="E8" s="1287"/>
      <c r="F8" s="801"/>
      <c r="G8" s="802">
        <f>G9+G10</f>
        <v>19498.731289999996</v>
      </c>
      <c r="H8" s="803">
        <f>H9+H10</f>
        <v>19498.731289999996</v>
      </c>
      <c r="I8" s="803">
        <f>I9+I10</f>
        <v>0</v>
      </c>
      <c r="J8" s="803">
        <f>J9+J10</f>
        <v>0</v>
      </c>
      <c r="K8" s="803">
        <f t="shared" ref="K8:L10" si="2">+G8+I8</f>
        <v>19498.731289999996</v>
      </c>
      <c r="L8" s="803">
        <f t="shared" si="2"/>
        <v>19498.731289999996</v>
      </c>
      <c r="M8" s="803"/>
      <c r="N8" s="803">
        <f>N9+N10</f>
        <v>8618.9790299999986</v>
      </c>
      <c r="O8" s="803">
        <f>+K8-L8</f>
        <v>0</v>
      </c>
      <c r="P8" s="804">
        <f>P9+P10</f>
        <v>3700</v>
      </c>
      <c r="Q8" s="805"/>
      <c r="R8" s="806">
        <f>R9+R10</f>
        <v>0</v>
      </c>
      <c r="S8" s="807">
        <f>L8+R8</f>
        <v>19498.731289999996</v>
      </c>
      <c r="U8" s="806">
        <f>U9+U10</f>
        <v>18648.38004</v>
      </c>
      <c r="V8" s="807">
        <f>V9+V10</f>
        <v>0</v>
      </c>
      <c r="X8" s="806">
        <f>X9+X10</f>
        <v>18648.38004</v>
      </c>
      <c r="Y8" s="807">
        <f>Y9+Y10</f>
        <v>0</v>
      </c>
      <c r="AA8" s="806">
        <f>AA9+AA10</f>
        <v>0</v>
      </c>
      <c r="AB8" s="807">
        <f>AB9+AB10</f>
        <v>0</v>
      </c>
    </row>
    <row r="9" spans="1:28" s="816" customFormat="1" ht="12.75" x14ac:dyDescent="0.25">
      <c r="A9" s="808">
        <f t="shared" ref="A9:A16" si="3">A8+1</f>
        <v>4</v>
      </c>
      <c r="B9" s="809"/>
      <c r="C9" s="809"/>
      <c r="D9" s="1275" t="s">
        <v>727</v>
      </c>
      <c r="E9" s="1276"/>
      <c r="F9" s="812"/>
      <c r="G9" s="782">
        <f>H9</f>
        <v>0</v>
      </c>
      <c r="H9" s="783">
        <f>'[1]5.d'!H9</f>
        <v>0</v>
      </c>
      <c r="I9" s="783">
        <f>J9</f>
        <v>0</v>
      </c>
      <c r="J9" s="783">
        <f>'[1]5.d'!J9</f>
        <v>0</v>
      </c>
      <c r="K9" s="783">
        <f t="shared" si="2"/>
        <v>0</v>
      </c>
      <c r="L9" s="783">
        <f t="shared" si="2"/>
        <v>0</v>
      </c>
      <c r="M9" s="783">
        <v>85</v>
      </c>
      <c r="N9" s="783">
        <f>'[1]5.d'!N9</f>
        <v>0</v>
      </c>
      <c r="O9" s="783">
        <f>+K9-L9</f>
        <v>0</v>
      </c>
      <c r="P9" s="784">
        <f>'[1]5.d'!P9</f>
        <v>0</v>
      </c>
      <c r="Q9" s="813"/>
      <c r="R9" s="814">
        <f>'[1]5.d'!R9</f>
        <v>0</v>
      </c>
      <c r="S9" s="815">
        <f>L9+R9</f>
        <v>0</v>
      </c>
      <c r="U9" s="814">
        <f>'[1]5.d'!U9</f>
        <v>0</v>
      </c>
      <c r="V9" s="815">
        <f>'[1]5.d'!V9</f>
        <v>0</v>
      </c>
      <c r="X9" s="814">
        <f>'[1]5.d'!X9</f>
        <v>0</v>
      </c>
      <c r="Y9" s="815">
        <f>'[1]5.d'!Y9</f>
        <v>0</v>
      </c>
      <c r="AA9" s="814">
        <f>'[1]5.d'!AA9</f>
        <v>0</v>
      </c>
      <c r="AB9" s="815">
        <f>'[1]5.d'!AB9</f>
        <v>0</v>
      </c>
    </row>
    <row r="10" spans="1:28" s="816" customFormat="1" ht="12.75" x14ac:dyDescent="0.25">
      <c r="A10" s="808">
        <f t="shared" si="3"/>
        <v>5</v>
      </c>
      <c r="B10" s="809"/>
      <c r="C10" s="809"/>
      <c r="D10" s="1301" t="s">
        <v>1303</v>
      </c>
      <c r="E10" s="1302"/>
      <c r="F10" s="812"/>
      <c r="G10" s="782">
        <f>H10</f>
        <v>19498.731289999996</v>
      </c>
      <c r="H10" s="783">
        <f>'[1]5.d'!H10</f>
        <v>19498.731289999996</v>
      </c>
      <c r="I10" s="783">
        <f>J10</f>
        <v>0</v>
      </c>
      <c r="J10" s="783">
        <f>'[1]5.d'!J10</f>
        <v>0</v>
      </c>
      <c r="K10" s="783">
        <f t="shared" si="2"/>
        <v>19498.731289999996</v>
      </c>
      <c r="L10" s="783">
        <f t="shared" si="2"/>
        <v>19498.731289999996</v>
      </c>
      <c r="M10" s="783">
        <v>85</v>
      </c>
      <c r="N10" s="783">
        <f>'[1]5.d'!N10</f>
        <v>8618.9790299999986</v>
      </c>
      <c r="O10" s="783">
        <f>+K10-L10</f>
        <v>0</v>
      </c>
      <c r="P10" s="784">
        <f>'[1]5.d'!P10</f>
        <v>3700</v>
      </c>
      <c r="Q10" s="813"/>
      <c r="R10" s="814">
        <f>'[1]5.d'!R10</f>
        <v>0</v>
      </c>
      <c r="S10" s="815">
        <f>L10+R10</f>
        <v>19498.731289999996</v>
      </c>
      <c r="U10" s="814">
        <f>'[1]5.d'!U10</f>
        <v>18648.38004</v>
      </c>
      <c r="V10" s="815">
        <f>'[1]5.d'!V10</f>
        <v>0</v>
      </c>
      <c r="X10" s="814">
        <f>'[1]5.d'!X10</f>
        <v>18648.38004</v>
      </c>
      <c r="Y10" s="815">
        <f>'[1]5.d'!Y10</f>
        <v>0</v>
      </c>
      <c r="AA10" s="814">
        <f>'[1]5.d'!AA10</f>
        <v>0</v>
      </c>
      <c r="AB10" s="815">
        <f>'[1]5.d'!AB10</f>
        <v>0</v>
      </c>
    </row>
    <row r="11" spans="1:28" s="798" customFormat="1" ht="12.75" x14ac:dyDescent="0.25">
      <c r="A11" s="799">
        <f t="shared" si="3"/>
        <v>6</v>
      </c>
      <c r="B11" s="821"/>
      <c r="C11" s="1298" t="s">
        <v>803</v>
      </c>
      <c r="D11" s="1299"/>
      <c r="E11" s="1300"/>
      <c r="F11" s="822"/>
      <c r="G11" s="802">
        <f t="shared" ref="G11:L11" si="4">SUM(G12:G15)</f>
        <v>19622.477770000001</v>
      </c>
      <c r="H11" s="803">
        <f t="shared" si="4"/>
        <v>19622.477770000001</v>
      </c>
      <c r="I11" s="803">
        <f t="shared" si="4"/>
        <v>-126.5</v>
      </c>
      <c r="J11" s="803">
        <f t="shared" si="4"/>
        <v>-126.5</v>
      </c>
      <c r="K11" s="803">
        <f t="shared" si="4"/>
        <v>19495.977770000001</v>
      </c>
      <c r="L11" s="803">
        <f t="shared" si="4"/>
        <v>19495.977770000001</v>
      </c>
      <c r="M11" s="823"/>
      <c r="N11" s="803">
        <f>SUM(N12:N15)</f>
        <v>0</v>
      </c>
      <c r="O11" s="803">
        <f>SUM(O12:O15)</f>
        <v>0</v>
      </c>
      <c r="P11" s="804">
        <f>SUM(P12:P15)</f>
        <v>3754.1247799999996</v>
      </c>
      <c r="Q11" s="805"/>
      <c r="R11" s="806">
        <f>SUM(R12:R15)</f>
        <v>6.495999999999999E-2</v>
      </c>
      <c r="S11" s="807">
        <f t="shared" ref="S11:S22" si="5">L11+R11</f>
        <v>19496.042730000001</v>
      </c>
      <c r="U11" s="806">
        <f>SUM(U12:U15)</f>
        <v>10314.50304</v>
      </c>
      <c r="V11" s="807">
        <f>SUM(V12:V15)</f>
        <v>70</v>
      </c>
      <c r="X11" s="806">
        <f>SUM(X12:X15)</f>
        <v>9623.9058800000003</v>
      </c>
      <c r="Y11" s="807">
        <f>SUM(Y12:Y15)</f>
        <v>70</v>
      </c>
      <c r="AA11" s="806">
        <f>SUM(AA12:AA15)</f>
        <v>690.59715999999935</v>
      </c>
      <c r="AB11" s="807">
        <f>SUM(AB12:AB15)</f>
        <v>0</v>
      </c>
    </row>
    <row r="12" spans="1:28" s="816" customFormat="1" ht="12.75" x14ac:dyDescent="0.25">
      <c r="A12" s="808">
        <f t="shared" si="3"/>
        <v>7</v>
      </c>
      <c r="B12" s="817"/>
      <c r="C12" s="809"/>
      <c r="D12" s="1276" t="s">
        <v>804</v>
      </c>
      <c r="E12" s="1276"/>
      <c r="F12" s="818"/>
      <c r="G12" s="782">
        <f>H12</f>
        <v>3336.1635099999994</v>
      </c>
      <c r="H12" s="783">
        <f>'[1]5.d'!H12</f>
        <v>3336.1635099999994</v>
      </c>
      <c r="I12" s="783">
        <f>J12</f>
        <v>-126.5</v>
      </c>
      <c r="J12" s="783">
        <f>'[1]5.d'!J12</f>
        <v>-126.5</v>
      </c>
      <c r="K12" s="783">
        <f t="shared" ref="K12:L15" si="6">+G12+I12</f>
        <v>3209.6635099999994</v>
      </c>
      <c r="L12" s="783">
        <f t="shared" si="6"/>
        <v>3209.6635099999994</v>
      </c>
      <c r="M12" s="819">
        <v>85</v>
      </c>
      <c r="N12" s="783">
        <f>'[1]5.d'!N12</f>
        <v>0</v>
      </c>
      <c r="O12" s="783">
        <f>+K12-L12</f>
        <v>0</v>
      </c>
      <c r="P12" s="784">
        <f>'[1]5.d'!P12</f>
        <v>2807.7320099999997</v>
      </c>
      <c r="Q12" s="813"/>
      <c r="R12" s="814">
        <f>'[1]5.d'!R12</f>
        <v>6.495999999999999E-2</v>
      </c>
      <c r="S12" s="815">
        <f t="shared" si="5"/>
        <v>3209.7284699999996</v>
      </c>
      <c r="U12" s="814">
        <f>'[1]5.d'!U12</f>
        <v>1354.3166500000002</v>
      </c>
      <c r="V12" s="815">
        <f>'[1]5.d'!V12</f>
        <v>70</v>
      </c>
      <c r="X12" s="814">
        <f>'[1]5.d'!X12</f>
        <v>1354.3166500000002</v>
      </c>
      <c r="Y12" s="815">
        <f>'[1]5.d'!Y12</f>
        <v>70</v>
      </c>
      <c r="AA12" s="814">
        <f>'[1]5.d'!AA12</f>
        <v>0</v>
      </c>
      <c r="AB12" s="815">
        <f>'[1]5.d'!AB12</f>
        <v>0</v>
      </c>
    </row>
    <row r="13" spans="1:28" s="816" customFormat="1" ht="12.75" x14ac:dyDescent="0.25">
      <c r="A13" s="808">
        <f t="shared" si="3"/>
        <v>8</v>
      </c>
      <c r="B13" s="817"/>
      <c r="C13" s="809"/>
      <c r="D13" s="1276" t="s">
        <v>805</v>
      </c>
      <c r="E13" s="1276"/>
      <c r="F13" s="818" t="s">
        <v>646</v>
      </c>
      <c r="G13" s="782">
        <f>H13</f>
        <v>16283.93528</v>
      </c>
      <c r="H13" s="783">
        <f>'[1]5.d'!H13</f>
        <v>16283.93528</v>
      </c>
      <c r="I13" s="783">
        <f>J13</f>
        <v>0</v>
      </c>
      <c r="J13" s="783">
        <f>'[1]5.d'!J13</f>
        <v>0</v>
      </c>
      <c r="K13" s="783">
        <f t="shared" si="6"/>
        <v>16283.93528</v>
      </c>
      <c r="L13" s="783">
        <f t="shared" si="6"/>
        <v>16283.93528</v>
      </c>
      <c r="M13" s="819">
        <v>85</v>
      </c>
      <c r="N13" s="783">
        <f>'[1]5.d'!N13</f>
        <v>0</v>
      </c>
      <c r="O13" s="783">
        <f>+K13-L13</f>
        <v>0</v>
      </c>
      <c r="P13" s="784">
        <f>'[1]5.d'!P13</f>
        <v>946.39277000000004</v>
      </c>
      <c r="Q13" s="813"/>
      <c r="R13" s="814">
        <f>'[1]5.d'!R13</f>
        <v>0</v>
      </c>
      <c r="S13" s="815">
        <f t="shared" si="5"/>
        <v>16283.93528</v>
      </c>
      <c r="U13" s="814">
        <f>'[1]5.d'!U13</f>
        <v>8960.1863899999989</v>
      </c>
      <c r="V13" s="815">
        <f>'[1]5.d'!V13</f>
        <v>0</v>
      </c>
      <c r="X13" s="814">
        <f>'[1]5.d'!X13</f>
        <v>8269.5892299999996</v>
      </c>
      <c r="Y13" s="815">
        <f>'[1]5.d'!Y13</f>
        <v>0</v>
      </c>
      <c r="AA13" s="814">
        <f>'[1]5.d'!AA13</f>
        <v>690.59715999999935</v>
      </c>
      <c r="AB13" s="815">
        <f>'[1]5.d'!AB13</f>
        <v>0</v>
      </c>
    </row>
    <row r="14" spans="1:28" s="816" customFormat="1" ht="12.75" x14ac:dyDescent="0.25">
      <c r="A14" s="808">
        <f t="shared" si="3"/>
        <v>9</v>
      </c>
      <c r="B14" s="817"/>
      <c r="C14" s="817"/>
      <c r="D14" s="1296" t="s">
        <v>806</v>
      </c>
      <c r="E14" s="1296"/>
      <c r="F14" s="818"/>
      <c r="G14" s="782">
        <f>H14</f>
        <v>0</v>
      </c>
      <c r="H14" s="783">
        <f>'[1]5.d'!H14</f>
        <v>0</v>
      </c>
      <c r="I14" s="783">
        <f>J14</f>
        <v>0</v>
      </c>
      <c r="J14" s="783">
        <f>'[1]5.d'!J14</f>
        <v>0</v>
      </c>
      <c r="K14" s="783">
        <f t="shared" si="6"/>
        <v>0</v>
      </c>
      <c r="L14" s="783">
        <f t="shared" si="6"/>
        <v>0</v>
      </c>
      <c r="M14" s="819">
        <v>85</v>
      </c>
      <c r="N14" s="783">
        <f>'[1]5.d'!N14</f>
        <v>0</v>
      </c>
      <c r="O14" s="783">
        <f>+K14-L14</f>
        <v>0</v>
      </c>
      <c r="P14" s="784">
        <f>'[1]5.d'!P14</f>
        <v>0</v>
      </c>
      <c r="Q14" s="813"/>
      <c r="R14" s="814">
        <f>'[1]5.d'!R14</f>
        <v>0</v>
      </c>
      <c r="S14" s="815">
        <f t="shared" si="5"/>
        <v>0</v>
      </c>
      <c r="U14" s="814">
        <f>'[1]5.d'!U14</f>
        <v>0</v>
      </c>
      <c r="V14" s="815">
        <f>'[1]5.d'!V14</f>
        <v>0</v>
      </c>
      <c r="X14" s="814">
        <f>'[1]5.d'!X14</f>
        <v>0</v>
      </c>
      <c r="Y14" s="815">
        <f>'[1]5.d'!Y14</f>
        <v>0</v>
      </c>
      <c r="AA14" s="814">
        <f>'[1]5.d'!AA14</f>
        <v>0</v>
      </c>
      <c r="AB14" s="815">
        <f>'[1]5.d'!AB14</f>
        <v>0</v>
      </c>
    </row>
    <row r="15" spans="1:28" s="816" customFormat="1" ht="12.75" x14ac:dyDescent="0.25">
      <c r="A15" s="808">
        <f t="shared" si="3"/>
        <v>10</v>
      </c>
      <c r="B15" s="817"/>
      <c r="C15" s="817"/>
      <c r="D15" s="1296" t="s">
        <v>806</v>
      </c>
      <c r="E15" s="1296"/>
      <c r="F15" s="818" t="s">
        <v>646</v>
      </c>
      <c r="G15" s="782">
        <f>H15</f>
        <v>2.3789799999999999</v>
      </c>
      <c r="H15" s="783">
        <f>'[1]5.d'!H15</f>
        <v>2.3789799999999999</v>
      </c>
      <c r="I15" s="783">
        <f>J15</f>
        <v>0</v>
      </c>
      <c r="J15" s="783">
        <f>'[1]5.d'!J15</f>
        <v>0</v>
      </c>
      <c r="K15" s="783">
        <f t="shared" si="6"/>
        <v>2.3789799999999999</v>
      </c>
      <c r="L15" s="783">
        <f t="shared" si="6"/>
        <v>2.3789799999999999</v>
      </c>
      <c r="M15" s="819">
        <v>85</v>
      </c>
      <c r="N15" s="783">
        <f>'[1]5.d'!N15</f>
        <v>0</v>
      </c>
      <c r="O15" s="783">
        <f>+K15-L15</f>
        <v>0</v>
      </c>
      <c r="P15" s="784">
        <f>'[1]5.d'!P15</f>
        <v>0</v>
      </c>
      <c r="Q15" s="813"/>
      <c r="R15" s="814">
        <f>'[1]5.d'!R15</f>
        <v>0</v>
      </c>
      <c r="S15" s="815">
        <f t="shared" si="5"/>
        <v>2.3789799999999999</v>
      </c>
      <c r="U15" s="814">
        <f>'[1]5.d'!U15</f>
        <v>0</v>
      </c>
      <c r="V15" s="815">
        <f>'[1]5.d'!V15</f>
        <v>0</v>
      </c>
      <c r="X15" s="814">
        <f>'[1]5.d'!X15</f>
        <v>0</v>
      </c>
      <c r="Y15" s="815">
        <f>'[1]5.d'!Y15</f>
        <v>0</v>
      </c>
      <c r="AA15" s="814">
        <f>'[1]5.d'!AA15</f>
        <v>0</v>
      </c>
      <c r="AB15" s="815">
        <f>'[1]5.d'!AB15</f>
        <v>0</v>
      </c>
    </row>
    <row r="16" spans="1:28" s="798" customFormat="1" ht="12.75" x14ac:dyDescent="0.25">
      <c r="A16" s="791">
        <f t="shared" si="3"/>
        <v>11</v>
      </c>
      <c r="B16" s="1283" t="s">
        <v>1233</v>
      </c>
      <c r="C16" s="1283"/>
      <c r="D16" s="1283"/>
      <c r="E16" s="1283"/>
      <c r="F16" s="824"/>
      <c r="G16" s="793">
        <f>SUM(G17,G19,G21)</f>
        <v>13483.156540000002</v>
      </c>
      <c r="H16" s="794">
        <f>SUM(H17,H19,H21)</f>
        <v>13483.156540000002</v>
      </c>
      <c r="I16" s="794">
        <f>SUM(I17,I19,I21)</f>
        <v>8545.2766999999985</v>
      </c>
      <c r="J16" s="794">
        <f>SUM(J17,J19,J21)</f>
        <v>8545.2766999999985</v>
      </c>
      <c r="K16" s="794">
        <f t="shared" ref="K16:L22" si="7">+G16+I16</f>
        <v>22028.433239999998</v>
      </c>
      <c r="L16" s="794">
        <f t="shared" si="7"/>
        <v>22028.433239999998</v>
      </c>
      <c r="M16" s="794"/>
      <c r="N16" s="794">
        <f>SUM(N17,N19,N21)</f>
        <v>0</v>
      </c>
      <c r="O16" s="794">
        <f t="shared" ref="O16:O22" si="8">+K16-L16</f>
        <v>0</v>
      </c>
      <c r="P16" s="825">
        <f>SUM(P17,P19,P21)</f>
        <v>0</v>
      </c>
      <c r="Q16" s="796"/>
      <c r="R16" s="797">
        <f>R17+R19+R21</f>
        <v>0.21273</v>
      </c>
      <c r="S16" s="795">
        <f t="shared" si="5"/>
        <v>22028.645969999998</v>
      </c>
      <c r="U16" s="797">
        <f>SUM(U17,U19,U21)</f>
        <v>14240.056050000001</v>
      </c>
      <c r="V16" s="795">
        <f>SUM(V17,V19,V21)</f>
        <v>1903.23883</v>
      </c>
      <c r="X16" s="797">
        <f>SUM(X17,X19,X21)</f>
        <v>0</v>
      </c>
      <c r="Y16" s="795">
        <f>SUM(Y17,Y19,Y21)</f>
        <v>1903.23883</v>
      </c>
      <c r="AA16" s="797">
        <f>SUM(AA17,AA19,AA21)</f>
        <v>14240.056050000001</v>
      </c>
      <c r="AB16" s="795">
        <f>SUM(AB17,AB19,AB21)</f>
        <v>0</v>
      </c>
    </row>
    <row r="17" spans="1:28" s="798" customFormat="1" ht="12.75" x14ac:dyDescent="0.25">
      <c r="A17" s="799">
        <f t="shared" ref="A17:A22" si="9">A16+1</f>
        <v>12</v>
      </c>
      <c r="B17" s="800"/>
      <c r="C17" s="1297" t="s">
        <v>807</v>
      </c>
      <c r="D17" s="1297"/>
      <c r="E17" s="1297"/>
      <c r="F17" s="801"/>
      <c r="G17" s="802">
        <f>G18</f>
        <v>13478.484380000002</v>
      </c>
      <c r="H17" s="803">
        <f>H18</f>
        <v>13478.484380000002</v>
      </c>
      <c r="I17" s="803">
        <f>I18</f>
        <v>0</v>
      </c>
      <c r="J17" s="803">
        <f>J18</f>
        <v>0</v>
      </c>
      <c r="K17" s="803">
        <f t="shared" si="7"/>
        <v>13478.484380000002</v>
      </c>
      <c r="L17" s="803">
        <f t="shared" si="7"/>
        <v>13478.484380000002</v>
      </c>
      <c r="M17" s="803"/>
      <c r="N17" s="803">
        <f>N18</f>
        <v>0</v>
      </c>
      <c r="O17" s="803">
        <f t="shared" si="8"/>
        <v>0</v>
      </c>
      <c r="P17" s="804">
        <f>P18</f>
        <v>0</v>
      </c>
      <c r="Q17" s="805"/>
      <c r="R17" s="806">
        <f>R18</f>
        <v>0.21273</v>
      </c>
      <c r="S17" s="807">
        <f t="shared" si="5"/>
        <v>13478.697110000001</v>
      </c>
      <c r="U17" s="806">
        <f t="shared" ref="U17:AB19" si="10">U18</f>
        <v>14240.056050000001</v>
      </c>
      <c r="V17" s="807">
        <f t="shared" si="10"/>
        <v>0</v>
      </c>
      <c r="X17" s="806">
        <f t="shared" si="10"/>
        <v>0</v>
      </c>
      <c r="Y17" s="807">
        <f t="shared" si="10"/>
        <v>0</v>
      </c>
      <c r="AA17" s="806">
        <f t="shared" si="10"/>
        <v>14240.056050000001</v>
      </c>
      <c r="AB17" s="807">
        <f t="shared" si="10"/>
        <v>0</v>
      </c>
    </row>
    <row r="18" spans="1:28" s="816" customFormat="1" ht="12.75" x14ac:dyDescent="0.25">
      <c r="A18" s="808">
        <f t="shared" si="9"/>
        <v>13</v>
      </c>
      <c r="B18" s="809"/>
      <c r="C18" s="811"/>
      <c r="D18" s="811" t="s">
        <v>808</v>
      </c>
      <c r="E18" s="811"/>
      <c r="F18" s="812" t="s">
        <v>646</v>
      </c>
      <c r="G18" s="782">
        <f>H18</f>
        <v>13478.484380000002</v>
      </c>
      <c r="H18" s="783">
        <f>'[1]5.d'!H18</f>
        <v>13478.484380000002</v>
      </c>
      <c r="I18" s="783">
        <f>J18</f>
        <v>0</v>
      </c>
      <c r="J18" s="783">
        <f>'[1]5.d'!J18</f>
        <v>0</v>
      </c>
      <c r="K18" s="783">
        <f t="shared" si="7"/>
        <v>13478.484380000002</v>
      </c>
      <c r="L18" s="783">
        <f t="shared" si="7"/>
        <v>13478.484380000002</v>
      </c>
      <c r="M18" s="783">
        <v>85</v>
      </c>
      <c r="N18" s="783">
        <f>'[1]5.d'!N18</f>
        <v>0</v>
      </c>
      <c r="O18" s="783">
        <f t="shared" si="8"/>
        <v>0</v>
      </c>
      <c r="P18" s="784">
        <f>'[1]5.d'!P18</f>
        <v>0</v>
      </c>
      <c r="Q18" s="813"/>
      <c r="R18" s="814">
        <f>'[1]5.d'!R18</f>
        <v>0.21273</v>
      </c>
      <c r="S18" s="815">
        <f t="shared" si="5"/>
        <v>13478.697110000001</v>
      </c>
      <c r="U18" s="814">
        <f>'[1]5.d'!U18</f>
        <v>14240.056050000001</v>
      </c>
      <c r="V18" s="815">
        <f>'[1]5.d'!V18</f>
        <v>0</v>
      </c>
      <c r="X18" s="814">
        <f>'[1]5.d'!X18</f>
        <v>0</v>
      </c>
      <c r="Y18" s="815">
        <f>'[1]5.d'!Y18</f>
        <v>0</v>
      </c>
      <c r="AA18" s="814">
        <f>'[1]5.d'!AA18</f>
        <v>14240.056050000001</v>
      </c>
      <c r="AB18" s="815">
        <f>'[1]5.d'!AB18</f>
        <v>0</v>
      </c>
    </row>
    <row r="19" spans="1:28" s="798" customFormat="1" ht="12.75" x14ac:dyDescent="0.25">
      <c r="A19" s="799">
        <f t="shared" si="9"/>
        <v>14</v>
      </c>
      <c r="B19" s="800"/>
      <c r="C19" s="1297" t="s">
        <v>809</v>
      </c>
      <c r="D19" s="1297"/>
      <c r="E19" s="1297"/>
      <c r="F19" s="801"/>
      <c r="G19" s="802">
        <f>G20</f>
        <v>0</v>
      </c>
      <c r="H19" s="803">
        <f t="shared" ref="H19:P19" si="11">H20</f>
        <v>0</v>
      </c>
      <c r="I19" s="803">
        <f t="shared" si="11"/>
        <v>6862.0263399999994</v>
      </c>
      <c r="J19" s="803">
        <f t="shared" si="11"/>
        <v>6862.0263399999994</v>
      </c>
      <c r="K19" s="803">
        <f t="shared" si="7"/>
        <v>6862.0263399999994</v>
      </c>
      <c r="L19" s="803">
        <f t="shared" si="7"/>
        <v>6862.0263399999994</v>
      </c>
      <c r="M19" s="803"/>
      <c r="N19" s="803">
        <f t="shared" si="11"/>
        <v>0</v>
      </c>
      <c r="O19" s="803">
        <f>+K19-L19</f>
        <v>0</v>
      </c>
      <c r="P19" s="804">
        <f t="shared" si="11"/>
        <v>0</v>
      </c>
      <c r="Q19" s="805"/>
      <c r="R19" s="806">
        <f>R20</f>
        <v>0</v>
      </c>
      <c r="S19" s="807">
        <f t="shared" si="5"/>
        <v>6862.0263399999994</v>
      </c>
      <c r="U19" s="806">
        <f t="shared" si="10"/>
        <v>0</v>
      </c>
      <c r="V19" s="807">
        <f t="shared" si="10"/>
        <v>0</v>
      </c>
      <c r="X19" s="806">
        <f t="shared" si="10"/>
        <v>0</v>
      </c>
      <c r="Y19" s="807">
        <f t="shared" si="10"/>
        <v>0</v>
      </c>
      <c r="AA19" s="806">
        <f t="shared" si="10"/>
        <v>0</v>
      </c>
      <c r="AB19" s="807">
        <f t="shared" si="10"/>
        <v>0</v>
      </c>
    </row>
    <row r="20" spans="1:28" s="816" customFormat="1" ht="12.75" x14ac:dyDescent="0.25">
      <c r="A20" s="808">
        <f t="shared" si="9"/>
        <v>15</v>
      </c>
      <c r="B20" s="827"/>
      <c r="C20" s="809"/>
      <c r="D20" s="810" t="s">
        <v>810</v>
      </c>
      <c r="E20" s="811"/>
      <c r="F20" s="812" t="s">
        <v>646</v>
      </c>
      <c r="G20" s="782">
        <f>H20</f>
        <v>0</v>
      </c>
      <c r="H20" s="783">
        <f>'[1]5.d'!H20</f>
        <v>0</v>
      </c>
      <c r="I20" s="783">
        <f>J20</f>
        <v>6862.0263399999994</v>
      </c>
      <c r="J20" s="783">
        <f>'[1]5.d'!J20</f>
        <v>6862.0263399999994</v>
      </c>
      <c r="K20" s="783">
        <f t="shared" si="7"/>
        <v>6862.0263399999994</v>
      </c>
      <c r="L20" s="783">
        <f t="shared" si="7"/>
        <v>6862.0263399999994</v>
      </c>
      <c r="M20" s="783">
        <v>85</v>
      </c>
      <c r="N20" s="783">
        <f>'[1]5.d'!N20</f>
        <v>0</v>
      </c>
      <c r="O20" s="783">
        <f>+K20-L20</f>
        <v>0</v>
      </c>
      <c r="P20" s="784">
        <f>'[1]5.d'!P20</f>
        <v>0</v>
      </c>
      <c r="Q20" s="813"/>
      <c r="R20" s="814">
        <f>'[1]5.d'!R20</f>
        <v>0</v>
      </c>
      <c r="S20" s="815">
        <f t="shared" si="5"/>
        <v>6862.0263399999994</v>
      </c>
      <c r="U20" s="814">
        <f>'[1]5.d'!U20</f>
        <v>0</v>
      </c>
      <c r="V20" s="815">
        <f>'[1]5.d'!V20</f>
        <v>0</v>
      </c>
      <c r="X20" s="814">
        <f>'[1]5.d'!X20</f>
        <v>0</v>
      </c>
      <c r="Y20" s="815">
        <f>'[1]5.d'!Y20</f>
        <v>0</v>
      </c>
      <c r="AA20" s="814">
        <f>'[1]5.d'!AA20</f>
        <v>0</v>
      </c>
      <c r="AB20" s="815">
        <f>'[1]5.d'!AB20</f>
        <v>0</v>
      </c>
    </row>
    <row r="21" spans="1:28" s="798" customFormat="1" ht="12.75" x14ac:dyDescent="0.25">
      <c r="A21" s="799">
        <f t="shared" si="9"/>
        <v>16</v>
      </c>
      <c r="B21" s="828"/>
      <c r="C21" s="826" t="s">
        <v>811</v>
      </c>
      <c r="D21" s="828"/>
      <c r="E21" s="826"/>
      <c r="F21" s="801"/>
      <c r="G21" s="802">
        <f>G22</f>
        <v>4.6721599999999999</v>
      </c>
      <c r="H21" s="803">
        <f t="shared" ref="H21:P21" si="12">H22</f>
        <v>4.6721599999999999</v>
      </c>
      <c r="I21" s="803">
        <f t="shared" si="12"/>
        <v>1683.25036</v>
      </c>
      <c r="J21" s="803">
        <f t="shared" si="12"/>
        <v>1683.25036</v>
      </c>
      <c r="K21" s="803">
        <f t="shared" si="7"/>
        <v>1687.9225200000001</v>
      </c>
      <c r="L21" s="803">
        <f t="shared" si="7"/>
        <v>1687.9225200000001</v>
      </c>
      <c r="M21" s="803"/>
      <c r="N21" s="803">
        <f t="shared" si="12"/>
        <v>0</v>
      </c>
      <c r="O21" s="803">
        <f t="shared" si="8"/>
        <v>0</v>
      </c>
      <c r="P21" s="804">
        <f t="shared" si="12"/>
        <v>0</v>
      </c>
      <c r="Q21" s="805"/>
      <c r="R21" s="806">
        <f>R22</f>
        <v>0</v>
      </c>
      <c r="S21" s="807">
        <f t="shared" si="5"/>
        <v>1687.9225200000001</v>
      </c>
      <c r="U21" s="806">
        <f t="shared" ref="U21:AB21" si="13">U22</f>
        <v>0</v>
      </c>
      <c r="V21" s="807">
        <f t="shared" si="13"/>
        <v>1903.23883</v>
      </c>
      <c r="X21" s="806">
        <f t="shared" si="13"/>
        <v>0</v>
      </c>
      <c r="Y21" s="807">
        <f t="shared" si="13"/>
        <v>1903.23883</v>
      </c>
      <c r="AA21" s="806">
        <f t="shared" si="13"/>
        <v>0</v>
      </c>
      <c r="AB21" s="807">
        <f t="shared" si="13"/>
        <v>0</v>
      </c>
    </row>
    <row r="22" spans="1:28" s="816" customFormat="1" ht="12.75" x14ac:dyDescent="0.25">
      <c r="A22" s="808">
        <f t="shared" si="9"/>
        <v>17</v>
      </c>
      <c r="B22" s="817"/>
      <c r="C22" s="820"/>
      <c r="D22" s="810" t="s">
        <v>812</v>
      </c>
      <c r="E22" s="811"/>
      <c r="F22" s="812" t="s">
        <v>646</v>
      </c>
      <c r="G22" s="782">
        <f>H22</f>
        <v>4.6721599999999999</v>
      </c>
      <c r="H22" s="783">
        <f>'[1]5.d'!H22</f>
        <v>4.6721599999999999</v>
      </c>
      <c r="I22" s="783">
        <f>J22</f>
        <v>1683.25036</v>
      </c>
      <c r="J22" s="783">
        <f>'[1]5.d'!J22</f>
        <v>1683.25036</v>
      </c>
      <c r="K22" s="783">
        <f t="shared" si="7"/>
        <v>1687.9225200000001</v>
      </c>
      <c r="L22" s="783">
        <f t="shared" si="7"/>
        <v>1687.9225200000001</v>
      </c>
      <c r="M22" s="783">
        <v>85</v>
      </c>
      <c r="N22" s="783">
        <f>'[1]5.d'!N22</f>
        <v>0</v>
      </c>
      <c r="O22" s="783">
        <f t="shared" si="8"/>
        <v>0</v>
      </c>
      <c r="P22" s="784">
        <f>'[1]5.d'!P22</f>
        <v>0</v>
      </c>
      <c r="Q22" s="813"/>
      <c r="R22" s="814">
        <f>'[1]5.d'!R22</f>
        <v>0</v>
      </c>
      <c r="S22" s="815">
        <f t="shared" si="5"/>
        <v>1687.9225200000001</v>
      </c>
      <c r="U22" s="814">
        <f>'[1]5.d'!U22</f>
        <v>0</v>
      </c>
      <c r="V22" s="815">
        <f>'[1]5.d'!V22</f>
        <v>1903.23883</v>
      </c>
      <c r="X22" s="814">
        <f>'[1]5.d'!X22</f>
        <v>0</v>
      </c>
      <c r="Y22" s="815">
        <f>'[1]5.d'!Y22</f>
        <v>1903.23883</v>
      </c>
      <c r="AA22" s="814">
        <f>'[1]5.d'!AA22</f>
        <v>0</v>
      </c>
      <c r="AB22" s="815">
        <f>'[1]5.d'!AB22</f>
        <v>0</v>
      </c>
    </row>
    <row r="23" spans="1:28" s="228" customFormat="1" ht="15.75" customHeight="1" x14ac:dyDescent="0.25">
      <c r="A23" s="224">
        <f t="shared" ref="A23:A29" si="14">A22+1</f>
        <v>18</v>
      </c>
      <c r="B23" s="1289" t="s">
        <v>869</v>
      </c>
      <c r="C23" s="1222"/>
      <c r="D23" s="1222"/>
      <c r="E23" s="1290"/>
      <c r="F23" s="335"/>
      <c r="G23" s="797">
        <f t="shared" ref="G23:L23" si="15">G24+G30</f>
        <v>156.92239000000001</v>
      </c>
      <c r="H23" s="794">
        <f t="shared" si="15"/>
        <v>156.92239000000001</v>
      </c>
      <c r="I23" s="794">
        <f t="shared" si="15"/>
        <v>968.14797999999996</v>
      </c>
      <c r="J23" s="794">
        <f t="shared" si="15"/>
        <v>968.14797999999996</v>
      </c>
      <c r="K23" s="794">
        <f t="shared" si="15"/>
        <v>1125.0703699999999</v>
      </c>
      <c r="L23" s="794">
        <f t="shared" si="15"/>
        <v>1125.0703699999999</v>
      </c>
      <c r="M23" s="794"/>
      <c r="N23" s="794">
        <f>N24+N30</f>
        <v>0</v>
      </c>
      <c r="O23" s="794">
        <f>O24+O30</f>
        <v>0</v>
      </c>
      <c r="P23" s="795">
        <f>P24+P30</f>
        <v>9.5500000000000012E-3</v>
      </c>
      <c r="Q23" s="878"/>
      <c r="R23" s="797">
        <f>R24+R30</f>
        <v>0</v>
      </c>
      <c r="S23" s="795">
        <f>S24+S30</f>
        <v>1125.0703699999999</v>
      </c>
      <c r="T23" s="798"/>
      <c r="U23" s="797">
        <f>U24+U30</f>
        <v>393.55775999999997</v>
      </c>
      <c r="V23" s="795">
        <f>V24+V30</f>
        <v>0</v>
      </c>
      <c r="W23" s="798"/>
      <c r="X23" s="797">
        <f>X24+X30</f>
        <v>0</v>
      </c>
      <c r="Y23" s="795">
        <f>Y24+Y30</f>
        <v>0</v>
      </c>
      <c r="Z23" s="798"/>
      <c r="AA23" s="797">
        <f>AA24+AA30</f>
        <v>393.55775999999997</v>
      </c>
      <c r="AB23" s="795">
        <f>AB24+AB30</f>
        <v>0</v>
      </c>
    </row>
    <row r="24" spans="1:28" s="228" customFormat="1" ht="12.75" x14ac:dyDescent="0.25">
      <c r="A24" s="248">
        <f t="shared" si="14"/>
        <v>19</v>
      </c>
      <c r="B24" s="1289" t="s">
        <v>717</v>
      </c>
      <c r="C24" s="1222"/>
      <c r="D24" s="1222"/>
      <c r="E24" s="1290"/>
      <c r="F24" s="335"/>
      <c r="G24" s="797">
        <f>G25</f>
        <v>156.92239000000001</v>
      </c>
      <c r="H24" s="794">
        <f t="shared" ref="H24:P24" si="16">H25</f>
        <v>156.92239000000001</v>
      </c>
      <c r="I24" s="794">
        <f t="shared" si="16"/>
        <v>0</v>
      </c>
      <c r="J24" s="794">
        <f t="shared" si="16"/>
        <v>0</v>
      </c>
      <c r="K24" s="794">
        <f t="shared" si="16"/>
        <v>156.92239000000001</v>
      </c>
      <c r="L24" s="794">
        <f t="shared" si="16"/>
        <v>156.92239000000001</v>
      </c>
      <c r="M24" s="794"/>
      <c r="N24" s="794">
        <f t="shared" si="16"/>
        <v>0</v>
      </c>
      <c r="O24" s="794">
        <f t="shared" si="16"/>
        <v>0</v>
      </c>
      <c r="P24" s="795">
        <f t="shared" si="16"/>
        <v>9.5500000000000012E-3</v>
      </c>
      <c r="Q24" s="878"/>
      <c r="R24" s="797">
        <f>R25</f>
        <v>0</v>
      </c>
      <c r="S24" s="795">
        <f>S25</f>
        <v>156.92239000000001</v>
      </c>
      <c r="T24" s="798"/>
      <c r="U24" s="797">
        <f t="shared" ref="U24:AB24" si="17">U25</f>
        <v>393.55775999999997</v>
      </c>
      <c r="V24" s="795">
        <f t="shared" si="17"/>
        <v>0</v>
      </c>
      <c r="W24" s="798"/>
      <c r="X24" s="797">
        <f t="shared" si="17"/>
        <v>0</v>
      </c>
      <c r="Y24" s="795">
        <f t="shared" si="17"/>
        <v>0</v>
      </c>
      <c r="Z24" s="798"/>
      <c r="AA24" s="797">
        <f t="shared" si="17"/>
        <v>393.55775999999997</v>
      </c>
      <c r="AB24" s="795">
        <f t="shared" si="17"/>
        <v>0</v>
      </c>
    </row>
    <row r="25" spans="1:28" s="835" customFormat="1" ht="12.75" x14ac:dyDescent="0.25">
      <c r="A25" s="294">
        <f t="shared" si="14"/>
        <v>20</v>
      </c>
      <c r="B25" s="836"/>
      <c r="C25" s="345" t="s">
        <v>718</v>
      </c>
      <c r="D25" s="245"/>
      <c r="E25" s="245"/>
      <c r="F25" s="837"/>
      <c r="G25" s="794">
        <f t="shared" ref="G25:L25" si="18">G26+G28</f>
        <v>156.92239000000001</v>
      </c>
      <c r="H25" s="794">
        <f t="shared" si="18"/>
        <v>156.92239000000001</v>
      </c>
      <c r="I25" s="794">
        <f t="shared" si="18"/>
        <v>0</v>
      </c>
      <c r="J25" s="794">
        <f t="shared" si="18"/>
        <v>0</v>
      </c>
      <c r="K25" s="794">
        <f t="shared" si="18"/>
        <v>156.92239000000001</v>
      </c>
      <c r="L25" s="794">
        <f t="shared" si="18"/>
        <v>156.92239000000001</v>
      </c>
      <c r="M25" s="794"/>
      <c r="N25" s="794">
        <f>N26+N28</f>
        <v>0</v>
      </c>
      <c r="O25" s="794">
        <f>O26+O28</f>
        <v>0</v>
      </c>
      <c r="P25" s="825">
        <f>P26+P28</f>
        <v>9.5500000000000012E-3</v>
      </c>
      <c r="Q25" s="796"/>
      <c r="R25" s="797">
        <f>R26+R28</f>
        <v>0</v>
      </c>
      <c r="S25" s="795">
        <f>S26+S28</f>
        <v>156.92239000000001</v>
      </c>
      <c r="T25" s="798"/>
      <c r="U25" s="797">
        <f>U26+U28</f>
        <v>393.55775999999997</v>
      </c>
      <c r="V25" s="795">
        <f>V26+V28</f>
        <v>0</v>
      </c>
      <c r="W25" s="798"/>
      <c r="X25" s="797">
        <f>X26+X28</f>
        <v>0</v>
      </c>
      <c r="Y25" s="795">
        <f>Y26+Y28</f>
        <v>0</v>
      </c>
      <c r="Z25" s="798"/>
      <c r="AA25" s="797">
        <f>AA26+AA28</f>
        <v>393.55775999999997</v>
      </c>
      <c r="AB25" s="795">
        <f>AB26+AB28</f>
        <v>0</v>
      </c>
    </row>
    <row r="26" spans="1:28" s="843" customFormat="1" ht="12.75" x14ac:dyDescent="0.25">
      <c r="A26" s="838">
        <f t="shared" si="14"/>
        <v>21</v>
      </c>
      <c r="B26" s="839"/>
      <c r="C26" s="840" t="s">
        <v>719</v>
      </c>
      <c r="D26" s="841"/>
      <c r="E26" s="841"/>
      <c r="F26" s="842"/>
      <c r="G26" s="802">
        <f>G27</f>
        <v>115.70165</v>
      </c>
      <c r="H26" s="803">
        <f t="shared" ref="H26:P26" si="19">H27</f>
        <v>115.70165</v>
      </c>
      <c r="I26" s="803">
        <f t="shared" si="19"/>
        <v>0</v>
      </c>
      <c r="J26" s="803">
        <f t="shared" si="19"/>
        <v>0</v>
      </c>
      <c r="K26" s="803">
        <f t="shared" ref="K26:L29" si="20">+G26+I26</f>
        <v>115.70165</v>
      </c>
      <c r="L26" s="803">
        <f t="shared" si="20"/>
        <v>115.70165</v>
      </c>
      <c r="M26" s="803"/>
      <c r="N26" s="803">
        <f t="shared" si="19"/>
        <v>0</v>
      </c>
      <c r="O26" s="803">
        <f>+K26-L26</f>
        <v>0</v>
      </c>
      <c r="P26" s="804">
        <f t="shared" si="19"/>
        <v>9.5500000000000012E-3</v>
      </c>
      <c r="Q26" s="805"/>
      <c r="R26" s="806">
        <f>R27</f>
        <v>0</v>
      </c>
      <c r="S26" s="807">
        <f>L26+R26</f>
        <v>115.70165</v>
      </c>
      <c r="T26" s="798"/>
      <c r="U26" s="806">
        <f t="shared" ref="U26:AB26" si="21">U27</f>
        <v>236.79115999999996</v>
      </c>
      <c r="V26" s="807">
        <f t="shared" si="21"/>
        <v>0</v>
      </c>
      <c r="W26" s="798"/>
      <c r="X26" s="806">
        <f t="shared" si="21"/>
        <v>0</v>
      </c>
      <c r="Y26" s="807">
        <f t="shared" si="21"/>
        <v>0</v>
      </c>
      <c r="Z26" s="798"/>
      <c r="AA26" s="806">
        <f t="shared" si="21"/>
        <v>236.79115999999996</v>
      </c>
      <c r="AB26" s="807">
        <f t="shared" si="21"/>
        <v>0</v>
      </c>
    </row>
    <row r="27" spans="1:28" s="832" customFormat="1" ht="27" customHeight="1" x14ac:dyDescent="0.25">
      <c r="A27" s="808">
        <f t="shared" si="14"/>
        <v>22</v>
      </c>
      <c r="B27" s="829"/>
      <c r="C27" s="829"/>
      <c r="D27" s="1307" t="s">
        <v>739</v>
      </c>
      <c r="E27" s="1308"/>
      <c r="F27" s="830"/>
      <c r="G27" s="782">
        <f>H27</f>
        <v>115.70165</v>
      </c>
      <c r="H27" s="783">
        <f>'[1]5.d'!H27</f>
        <v>115.70165</v>
      </c>
      <c r="I27" s="783">
        <f>J27</f>
        <v>0</v>
      </c>
      <c r="J27" s="783">
        <f>'[1]5.d'!J27</f>
        <v>0</v>
      </c>
      <c r="K27" s="783">
        <f t="shared" si="20"/>
        <v>115.70165</v>
      </c>
      <c r="L27" s="783">
        <f t="shared" si="20"/>
        <v>115.70165</v>
      </c>
      <c r="M27" s="783">
        <v>85</v>
      </c>
      <c r="N27" s="783">
        <f>'[1]5.d'!N27</f>
        <v>0</v>
      </c>
      <c r="O27" s="783">
        <f>+K27-L27</f>
        <v>0</v>
      </c>
      <c r="P27" s="784">
        <f>'[1]5.d'!P27</f>
        <v>9.5500000000000012E-3</v>
      </c>
      <c r="Q27" s="831"/>
      <c r="R27" s="814">
        <f>'[1]5.d'!R27</f>
        <v>0</v>
      </c>
      <c r="S27" s="815">
        <f>L27+R27</f>
        <v>115.70165</v>
      </c>
      <c r="U27" s="814">
        <f>'[1]5.d'!U27</f>
        <v>236.79115999999996</v>
      </c>
      <c r="V27" s="815">
        <f>'[1]5.d'!V27</f>
        <v>0</v>
      </c>
      <c r="W27" s="816"/>
      <c r="X27" s="814">
        <f>'[1]5.d'!X27</f>
        <v>0</v>
      </c>
      <c r="Y27" s="815">
        <f>'[1]5.d'!Y27</f>
        <v>0</v>
      </c>
      <c r="Z27" s="816"/>
      <c r="AA27" s="814">
        <f>'[1]5.d'!AA27</f>
        <v>236.79115999999996</v>
      </c>
      <c r="AB27" s="815">
        <f>'[1]5.d'!AB27</f>
        <v>0</v>
      </c>
    </row>
    <row r="28" spans="1:28" s="798" customFormat="1" ht="12.75" x14ac:dyDescent="0.25">
      <c r="A28" s="799">
        <f t="shared" si="14"/>
        <v>23</v>
      </c>
      <c r="B28" s="821"/>
      <c r="C28" s="800" t="s">
        <v>720</v>
      </c>
      <c r="D28" s="826"/>
      <c r="E28" s="826"/>
      <c r="F28" s="801"/>
      <c r="G28" s="802">
        <f>G29</f>
        <v>41.220739999999999</v>
      </c>
      <c r="H28" s="803">
        <f t="shared" ref="H28:P28" si="22">H29</f>
        <v>41.220739999999999</v>
      </c>
      <c r="I28" s="803">
        <f t="shared" si="22"/>
        <v>0</v>
      </c>
      <c r="J28" s="803">
        <f t="shared" si="22"/>
        <v>0</v>
      </c>
      <c r="K28" s="803">
        <f t="shared" si="20"/>
        <v>41.220739999999999</v>
      </c>
      <c r="L28" s="803">
        <f t="shared" si="20"/>
        <v>41.220739999999999</v>
      </c>
      <c r="M28" s="803"/>
      <c r="N28" s="803">
        <f t="shared" si="22"/>
        <v>0</v>
      </c>
      <c r="O28" s="803">
        <f>+K28-L28</f>
        <v>0</v>
      </c>
      <c r="P28" s="804">
        <f t="shared" si="22"/>
        <v>0</v>
      </c>
      <c r="Q28" s="805"/>
      <c r="R28" s="806">
        <f>R29</f>
        <v>0</v>
      </c>
      <c r="S28" s="807">
        <f>L28+R28</f>
        <v>41.220739999999999</v>
      </c>
      <c r="U28" s="806">
        <f t="shared" ref="U28:AB28" si="23">U29</f>
        <v>156.76660000000001</v>
      </c>
      <c r="V28" s="807">
        <f t="shared" si="23"/>
        <v>0</v>
      </c>
      <c r="X28" s="806">
        <f t="shared" si="23"/>
        <v>0</v>
      </c>
      <c r="Y28" s="807">
        <f t="shared" si="23"/>
        <v>0</v>
      </c>
      <c r="AA28" s="806">
        <f t="shared" si="23"/>
        <v>156.76660000000001</v>
      </c>
      <c r="AB28" s="807">
        <f t="shared" si="23"/>
        <v>0</v>
      </c>
    </row>
    <row r="29" spans="1:28" s="816" customFormat="1" ht="12.75" x14ac:dyDescent="0.25">
      <c r="A29" s="808">
        <f t="shared" si="14"/>
        <v>24</v>
      </c>
      <c r="B29" s="817"/>
      <c r="C29" s="809"/>
      <c r="D29" s="811" t="s">
        <v>721</v>
      </c>
      <c r="E29" s="811"/>
      <c r="F29" s="812"/>
      <c r="G29" s="782">
        <f>H29</f>
        <v>41.220739999999999</v>
      </c>
      <c r="H29" s="783">
        <f>'[1]5.d'!H29</f>
        <v>41.220739999999999</v>
      </c>
      <c r="I29" s="783">
        <f>J29</f>
        <v>0</v>
      </c>
      <c r="J29" s="783">
        <f>'[1]5.d'!J29</f>
        <v>0</v>
      </c>
      <c r="K29" s="783">
        <f t="shared" si="20"/>
        <v>41.220739999999999</v>
      </c>
      <c r="L29" s="783">
        <f t="shared" si="20"/>
        <v>41.220739999999999</v>
      </c>
      <c r="M29" s="783">
        <v>85</v>
      </c>
      <c r="N29" s="783">
        <f>'[1]5.d'!N29</f>
        <v>0</v>
      </c>
      <c r="O29" s="783">
        <f>+K29-L29</f>
        <v>0</v>
      </c>
      <c r="P29" s="784">
        <f>'[1]5.d'!P29</f>
        <v>0</v>
      </c>
      <c r="Q29" s="813"/>
      <c r="R29" s="814">
        <f>'[1]5.d'!R29</f>
        <v>0</v>
      </c>
      <c r="S29" s="815">
        <f>L29+R29</f>
        <v>41.220739999999999</v>
      </c>
      <c r="U29" s="814">
        <f>'[1]5.d'!U29</f>
        <v>156.76660000000001</v>
      </c>
      <c r="V29" s="815">
        <f>'[1]5.d'!V29</f>
        <v>0</v>
      </c>
      <c r="X29" s="814">
        <f>'[1]5.d'!X29</f>
        <v>0</v>
      </c>
      <c r="Y29" s="815">
        <f>'[1]5.d'!Y29</f>
        <v>0</v>
      </c>
      <c r="AA29" s="814">
        <f>'[1]5.d'!AA29</f>
        <v>156.76660000000001</v>
      </c>
      <c r="AB29" s="815">
        <f>'[1]5.d'!AB29</f>
        <v>0</v>
      </c>
    </row>
    <row r="30" spans="1:28" s="228" customFormat="1" ht="12.75" x14ac:dyDescent="0.25">
      <c r="A30" s="248">
        <f>A29+1</f>
        <v>25</v>
      </c>
      <c r="B30" s="1289" t="s">
        <v>722</v>
      </c>
      <c r="C30" s="1222"/>
      <c r="D30" s="1222"/>
      <c r="E30" s="1290"/>
      <c r="F30" s="335"/>
      <c r="G30" s="797">
        <f>G31</f>
        <v>0</v>
      </c>
      <c r="H30" s="794">
        <f t="shared" ref="H30:P30" si="24">H31</f>
        <v>0</v>
      </c>
      <c r="I30" s="794">
        <f t="shared" si="24"/>
        <v>968.14797999999996</v>
      </c>
      <c r="J30" s="794">
        <f t="shared" si="24"/>
        <v>968.14797999999996</v>
      </c>
      <c r="K30" s="794">
        <f t="shared" si="24"/>
        <v>968.14797999999996</v>
      </c>
      <c r="L30" s="794">
        <f t="shared" si="24"/>
        <v>968.14797999999996</v>
      </c>
      <c r="M30" s="794"/>
      <c r="N30" s="794">
        <f t="shared" si="24"/>
        <v>0</v>
      </c>
      <c r="O30" s="794">
        <f t="shared" si="24"/>
        <v>0</v>
      </c>
      <c r="P30" s="795">
        <f t="shared" si="24"/>
        <v>0</v>
      </c>
      <c r="Q30" s="227"/>
      <c r="R30" s="797">
        <f>R31</f>
        <v>0</v>
      </c>
      <c r="S30" s="795">
        <f>S31</f>
        <v>968.14797999999996</v>
      </c>
      <c r="U30" s="797">
        <f t="shared" ref="U30:V32" si="25">U31</f>
        <v>0</v>
      </c>
      <c r="V30" s="795">
        <f t="shared" si="25"/>
        <v>0</v>
      </c>
      <c r="W30" s="881"/>
      <c r="X30" s="797">
        <f t="shared" ref="X30:Y32" si="26">X31</f>
        <v>0</v>
      </c>
      <c r="Y30" s="795">
        <f t="shared" si="26"/>
        <v>0</v>
      </c>
      <c r="Z30" s="881"/>
      <c r="AA30" s="797">
        <f t="shared" ref="AA30:AB32" si="27">AA31</f>
        <v>0</v>
      </c>
      <c r="AB30" s="795">
        <f t="shared" si="27"/>
        <v>0</v>
      </c>
    </row>
    <row r="31" spans="1:28" s="835" customFormat="1" ht="12.75" x14ac:dyDescent="0.25">
      <c r="A31" s="294">
        <f>A30+1</f>
        <v>26</v>
      </c>
      <c r="B31" s="836"/>
      <c r="C31" s="345" t="s">
        <v>723</v>
      </c>
      <c r="D31" s="245"/>
      <c r="E31" s="245"/>
      <c r="F31" s="837"/>
      <c r="G31" s="794">
        <f>G32</f>
        <v>0</v>
      </c>
      <c r="H31" s="794">
        <f>H32</f>
        <v>0</v>
      </c>
      <c r="I31" s="794">
        <f>I32</f>
        <v>968.14797999999996</v>
      </c>
      <c r="J31" s="794">
        <f>J32</f>
        <v>968.14797999999996</v>
      </c>
      <c r="K31" s="794">
        <f>K32</f>
        <v>968.14797999999996</v>
      </c>
      <c r="L31" s="794">
        <f>L32</f>
        <v>968.14797999999996</v>
      </c>
      <c r="M31" s="794"/>
      <c r="N31" s="794">
        <f>N32</f>
        <v>0</v>
      </c>
      <c r="O31" s="794">
        <f>O32</f>
        <v>0</v>
      </c>
      <c r="P31" s="825">
        <f>P32</f>
        <v>0</v>
      </c>
      <c r="Q31" s="882"/>
      <c r="R31" s="797">
        <f>R32</f>
        <v>0</v>
      </c>
      <c r="S31" s="795">
        <f>S32</f>
        <v>968.14797999999996</v>
      </c>
      <c r="T31" s="228"/>
      <c r="U31" s="797">
        <f t="shared" si="25"/>
        <v>0</v>
      </c>
      <c r="V31" s="795">
        <f t="shared" si="25"/>
        <v>0</v>
      </c>
      <c r="W31" s="881"/>
      <c r="X31" s="797">
        <f t="shared" si="26"/>
        <v>0</v>
      </c>
      <c r="Y31" s="795">
        <f t="shared" si="26"/>
        <v>0</v>
      </c>
      <c r="Z31" s="881"/>
      <c r="AA31" s="797">
        <f t="shared" si="27"/>
        <v>0</v>
      </c>
      <c r="AB31" s="795">
        <f t="shared" si="27"/>
        <v>0</v>
      </c>
    </row>
    <row r="32" spans="1:28" s="213" customFormat="1" ht="12.75" x14ac:dyDescent="0.25">
      <c r="A32" s="214">
        <f>A31+1</f>
        <v>27</v>
      </c>
      <c r="B32" s="334"/>
      <c r="C32" s="331" t="s">
        <v>724</v>
      </c>
      <c r="D32" s="332"/>
      <c r="E32" s="332"/>
      <c r="F32" s="333"/>
      <c r="G32" s="782">
        <f>G33</f>
        <v>0</v>
      </c>
      <c r="H32" s="783">
        <f t="shared" ref="H32:P32" si="28">H33</f>
        <v>0</v>
      </c>
      <c r="I32" s="783">
        <f t="shared" si="28"/>
        <v>968.14797999999996</v>
      </c>
      <c r="J32" s="783">
        <f t="shared" si="28"/>
        <v>968.14797999999996</v>
      </c>
      <c r="K32" s="783">
        <f>+G32+I32</f>
        <v>968.14797999999996</v>
      </c>
      <c r="L32" s="783">
        <f>+H32+J32</f>
        <v>968.14797999999996</v>
      </c>
      <c r="M32" s="783"/>
      <c r="N32" s="783">
        <f t="shared" si="28"/>
        <v>0</v>
      </c>
      <c r="O32" s="783">
        <f>+K32-L32</f>
        <v>0</v>
      </c>
      <c r="P32" s="784">
        <f t="shared" si="28"/>
        <v>0</v>
      </c>
      <c r="Q32" s="233"/>
      <c r="R32" s="814">
        <f>R33</f>
        <v>0</v>
      </c>
      <c r="S32" s="815">
        <f>L32+R32</f>
        <v>968.14797999999996</v>
      </c>
      <c r="U32" s="806">
        <f t="shared" si="25"/>
        <v>0</v>
      </c>
      <c r="V32" s="807">
        <f t="shared" si="25"/>
        <v>0</v>
      </c>
      <c r="W32" s="881"/>
      <c r="X32" s="806">
        <f t="shared" si="26"/>
        <v>0</v>
      </c>
      <c r="Y32" s="807">
        <f t="shared" si="26"/>
        <v>0</v>
      </c>
      <c r="Z32" s="881"/>
      <c r="AA32" s="806">
        <f t="shared" si="27"/>
        <v>0</v>
      </c>
      <c r="AB32" s="807">
        <f t="shared" si="27"/>
        <v>0</v>
      </c>
    </row>
    <row r="33" spans="1:28" s="349" customFormat="1" ht="27" customHeight="1" x14ac:dyDescent="0.25">
      <c r="A33" s="214">
        <f>A32+1</f>
        <v>28</v>
      </c>
      <c r="B33" s="346"/>
      <c r="C33" s="346"/>
      <c r="D33" s="1305" t="s">
        <v>725</v>
      </c>
      <c r="E33" s="1306"/>
      <c r="F33" s="347"/>
      <c r="G33" s="785">
        <v>0</v>
      </c>
      <c r="H33" s="783">
        <f>'[1]5.d'!H33</f>
        <v>0</v>
      </c>
      <c r="I33" s="783">
        <f>J33</f>
        <v>968.14797999999996</v>
      </c>
      <c r="J33" s="783">
        <f>'[1]5.d'!J33</f>
        <v>968.14797999999996</v>
      </c>
      <c r="K33" s="783">
        <f>+G33+I33</f>
        <v>968.14797999999996</v>
      </c>
      <c r="L33" s="783">
        <f>+H33+J33</f>
        <v>968.14797999999996</v>
      </c>
      <c r="M33" s="783">
        <v>85</v>
      </c>
      <c r="N33" s="783">
        <f>'[1]5.d'!N33</f>
        <v>0</v>
      </c>
      <c r="O33" s="783">
        <f>+K33-L33</f>
        <v>0</v>
      </c>
      <c r="P33" s="784">
        <f>'[1]5.d'!P33</f>
        <v>0</v>
      </c>
      <c r="Q33" s="348"/>
      <c r="R33" s="814">
        <f>'[1]5.d'!R33</f>
        <v>0</v>
      </c>
      <c r="S33" s="815">
        <f>L33+R33</f>
        <v>968.14797999999996</v>
      </c>
      <c r="U33" s="814">
        <f>'[1]5.d'!U33</f>
        <v>0</v>
      </c>
      <c r="V33" s="815">
        <f>'[1]5.d'!V33</f>
        <v>0</v>
      </c>
      <c r="W33" s="816"/>
      <c r="X33" s="814">
        <f>'[1]5.d'!X33</f>
        <v>0</v>
      </c>
      <c r="Y33" s="815">
        <f>'[1]5.d'!Y33</f>
        <v>0</v>
      </c>
      <c r="Z33" s="816"/>
      <c r="AA33" s="814">
        <f>'[1]5.d'!AA33</f>
        <v>0</v>
      </c>
      <c r="AB33" s="815">
        <f>'[1]5.d'!AB33</f>
        <v>0</v>
      </c>
    </row>
    <row r="34" spans="1:28" s="228" customFormat="1" ht="15.75" customHeight="1" x14ac:dyDescent="0.25">
      <c r="A34" s="224">
        <f>A33+1</f>
        <v>29</v>
      </c>
      <c r="B34" s="1289" t="s">
        <v>867</v>
      </c>
      <c r="C34" s="1222"/>
      <c r="D34" s="1222"/>
      <c r="E34" s="1290"/>
      <c r="F34" s="335"/>
      <c r="G34" s="797">
        <f>G35</f>
        <v>0</v>
      </c>
      <c r="H34" s="794">
        <f>H35</f>
        <v>0</v>
      </c>
      <c r="I34" s="794">
        <f t="shared" ref="I34:O35" si="29">I35</f>
        <v>0</v>
      </c>
      <c r="J34" s="794">
        <f t="shared" si="29"/>
        <v>0</v>
      </c>
      <c r="K34" s="794">
        <f t="shared" si="29"/>
        <v>0</v>
      </c>
      <c r="L34" s="794">
        <f t="shared" si="29"/>
        <v>0</v>
      </c>
      <c r="M34" s="794"/>
      <c r="N34" s="794">
        <f t="shared" si="29"/>
        <v>0</v>
      </c>
      <c r="O34" s="794">
        <f t="shared" si="29"/>
        <v>0</v>
      </c>
      <c r="P34" s="795">
        <f>P35</f>
        <v>0</v>
      </c>
      <c r="Q34" s="805"/>
      <c r="R34" s="797">
        <f>R35</f>
        <v>0</v>
      </c>
      <c r="S34" s="795">
        <f>S35</f>
        <v>0</v>
      </c>
      <c r="T34" s="798"/>
      <c r="U34" s="797">
        <f t="shared" ref="U34:AB35" si="30">U35</f>
        <v>0</v>
      </c>
      <c r="V34" s="795">
        <f t="shared" si="30"/>
        <v>0</v>
      </c>
      <c r="W34" s="798"/>
      <c r="X34" s="797">
        <f t="shared" si="30"/>
        <v>0</v>
      </c>
      <c r="Y34" s="795">
        <f t="shared" si="30"/>
        <v>0</v>
      </c>
      <c r="Z34" s="798"/>
      <c r="AA34" s="797">
        <f t="shared" si="30"/>
        <v>0</v>
      </c>
      <c r="AB34" s="795">
        <f t="shared" si="30"/>
        <v>0</v>
      </c>
    </row>
    <row r="35" spans="1:28" s="228" customFormat="1" ht="12.75" x14ac:dyDescent="0.25">
      <c r="A35" s="248">
        <f t="shared" ref="A35:A40" si="31">A34+1</f>
        <v>30</v>
      </c>
      <c r="B35" s="1289" t="s">
        <v>1040</v>
      </c>
      <c r="C35" s="1222"/>
      <c r="D35" s="1222"/>
      <c r="E35" s="1290"/>
      <c r="F35" s="335"/>
      <c r="G35" s="797">
        <f>G36</f>
        <v>0</v>
      </c>
      <c r="H35" s="794">
        <f>H36</f>
        <v>0</v>
      </c>
      <c r="I35" s="794">
        <f t="shared" si="29"/>
        <v>0</v>
      </c>
      <c r="J35" s="794">
        <f t="shared" si="29"/>
        <v>0</v>
      </c>
      <c r="K35" s="794">
        <f t="shared" si="29"/>
        <v>0</v>
      </c>
      <c r="L35" s="794">
        <f t="shared" si="29"/>
        <v>0</v>
      </c>
      <c r="M35" s="794"/>
      <c r="N35" s="794">
        <f t="shared" si="29"/>
        <v>0</v>
      </c>
      <c r="O35" s="794">
        <f t="shared" si="29"/>
        <v>0</v>
      </c>
      <c r="P35" s="795">
        <f>P36</f>
        <v>0</v>
      </c>
      <c r="Q35" s="805"/>
      <c r="R35" s="797">
        <f>R36</f>
        <v>0</v>
      </c>
      <c r="S35" s="795">
        <f>S36</f>
        <v>0</v>
      </c>
      <c r="T35" s="798"/>
      <c r="U35" s="797">
        <f t="shared" si="30"/>
        <v>0</v>
      </c>
      <c r="V35" s="795">
        <f t="shared" si="30"/>
        <v>0</v>
      </c>
      <c r="W35" s="798"/>
      <c r="X35" s="797">
        <f t="shared" si="30"/>
        <v>0</v>
      </c>
      <c r="Y35" s="795">
        <f t="shared" si="30"/>
        <v>0</v>
      </c>
      <c r="Z35" s="798"/>
      <c r="AA35" s="797">
        <f t="shared" si="30"/>
        <v>0</v>
      </c>
      <c r="AB35" s="795">
        <f t="shared" si="30"/>
        <v>0</v>
      </c>
    </row>
    <row r="36" spans="1:28" s="835" customFormat="1" ht="12.75" x14ac:dyDescent="0.25">
      <c r="A36" s="248">
        <f t="shared" si="31"/>
        <v>31</v>
      </c>
      <c r="B36" s="350" t="s">
        <v>973</v>
      </c>
      <c r="C36" s="351"/>
      <c r="D36" s="351"/>
      <c r="E36" s="351"/>
      <c r="F36" s="330"/>
      <c r="G36" s="793">
        <f>SUM(G41,G37)</f>
        <v>0</v>
      </c>
      <c r="H36" s="794">
        <f>SUM(H37,H41)</f>
        <v>0</v>
      </c>
      <c r="I36" s="794">
        <f>SUM(I37,I41)</f>
        <v>0</v>
      </c>
      <c r="J36" s="794">
        <f>SUM(J37,J41)</f>
        <v>0</v>
      </c>
      <c r="K36" s="794">
        <f>SUM(K37,K41)</f>
        <v>0</v>
      </c>
      <c r="L36" s="794">
        <f>SUM(L37,L41)</f>
        <v>0</v>
      </c>
      <c r="M36" s="794"/>
      <c r="N36" s="794">
        <f>SUM(N37,N41)</f>
        <v>0</v>
      </c>
      <c r="O36" s="794">
        <f>SUM(O37,O41)</f>
        <v>0</v>
      </c>
      <c r="P36" s="795">
        <f>SUM(P37,P41)</f>
        <v>0</v>
      </c>
      <c r="Q36" s="805"/>
      <c r="R36" s="797">
        <f>R37+R41</f>
        <v>0</v>
      </c>
      <c r="S36" s="795">
        <f t="shared" ref="S36:S41" si="32">L36+R36</f>
        <v>0</v>
      </c>
      <c r="T36" s="798"/>
      <c r="U36" s="797">
        <f>SUM(U37,U41)</f>
        <v>0</v>
      </c>
      <c r="V36" s="795">
        <f>SUM(V37,V41)</f>
        <v>0</v>
      </c>
      <c r="W36" s="798"/>
      <c r="X36" s="797">
        <f>SUM(X37,X41)</f>
        <v>0</v>
      </c>
      <c r="Y36" s="795">
        <f>SUM(Y37,Y41)</f>
        <v>0</v>
      </c>
      <c r="Z36" s="798"/>
      <c r="AA36" s="797">
        <f>SUM(AA37,AA41)</f>
        <v>0</v>
      </c>
      <c r="AB36" s="795">
        <f>SUM(AB37,AB41)</f>
        <v>0</v>
      </c>
    </row>
    <row r="37" spans="1:28" s="798" customFormat="1" ht="12.75" x14ac:dyDescent="0.25">
      <c r="A37" s="799">
        <f t="shared" si="31"/>
        <v>32</v>
      </c>
      <c r="B37" s="833"/>
      <c r="C37" s="1285" t="s">
        <v>726</v>
      </c>
      <c r="D37" s="1286"/>
      <c r="E37" s="1287"/>
      <c r="F37" s="834"/>
      <c r="G37" s="802">
        <f>SUM(G38:G40)</f>
        <v>0</v>
      </c>
      <c r="H37" s="803">
        <f>SUM(H38:H40)</f>
        <v>0</v>
      </c>
      <c r="I37" s="803">
        <f t="shared" ref="I37:P37" si="33">SUM(I38:I40)</f>
        <v>0</v>
      </c>
      <c r="J37" s="803">
        <f t="shared" si="33"/>
        <v>0</v>
      </c>
      <c r="K37" s="803">
        <f t="shared" si="33"/>
        <v>0</v>
      </c>
      <c r="L37" s="803">
        <f t="shared" si="33"/>
        <v>0</v>
      </c>
      <c r="M37" s="803"/>
      <c r="N37" s="803">
        <f t="shared" si="33"/>
        <v>0</v>
      </c>
      <c r="O37" s="803">
        <f t="shared" si="33"/>
        <v>0</v>
      </c>
      <c r="P37" s="804">
        <f t="shared" si="33"/>
        <v>0</v>
      </c>
      <c r="Q37" s="805"/>
      <c r="R37" s="806">
        <f>R38+R39+R40</f>
        <v>0</v>
      </c>
      <c r="S37" s="807">
        <f t="shared" si="32"/>
        <v>0</v>
      </c>
      <c r="U37" s="806">
        <f>SUM(U38:U40)</f>
        <v>0</v>
      </c>
      <c r="V37" s="807">
        <f>SUM(V38:V40)</f>
        <v>0</v>
      </c>
      <c r="X37" s="806">
        <f>SUM(X38:X40)</f>
        <v>0</v>
      </c>
      <c r="Y37" s="807">
        <f>SUM(Y38:Y40)</f>
        <v>0</v>
      </c>
      <c r="AA37" s="806">
        <f>SUM(AA38:AA40)</f>
        <v>0</v>
      </c>
      <c r="AB37" s="807">
        <f>SUM(AB38:AB40)</f>
        <v>0</v>
      </c>
    </row>
    <row r="38" spans="1:28" s="816" customFormat="1" ht="24.75" customHeight="1" x14ac:dyDescent="0.25">
      <c r="A38" s="808">
        <f t="shared" si="31"/>
        <v>33</v>
      </c>
      <c r="B38" s="809"/>
      <c r="C38" s="809"/>
      <c r="D38" s="1303" t="s">
        <v>814</v>
      </c>
      <c r="E38" s="1304"/>
      <c r="F38" s="812"/>
      <c r="G38" s="782">
        <f>H38</f>
        <v>0</v>
      </c>
      <c r="H38" s="783">
        <f>'[1]5.d'!H38</f>
        <v>0</v>
      </c>
      <c r="I38" s="783">
        <f>J38</f>
        <v>0</v>
      </c>
      <c r="J38" s="783">
        <f>'[1]5.d'!J38</f>
        <v>0</v>
      </c>
      <c r="K38" s="783">
        <f t="shared" ref="K38:L40" si="34">G38+I38</f>
        <v>0</v>
      </c>
      <c r="L38" s="783">
        <f t="shared" si="34"/>
        <v>0</v>
      </c>
      <c r="M38" s="819">
        <v>85</v>
      </c>
      <c r="N38" s="783">
        <f>'[1]5.d'!N38</f>
        <v>0</v>
      </c>
      <c r="O38" s="783">
        <f>K38-L38</f>
        <v>0</v>
      </c>
      <c r="P38" s="784">
        <f>'[1]5.d'!P38</f>
        <v>0</v>
      </c>
      <c r="Q38" s="813"/>
      <c r="R38" s="814">
        <f>'[1]5.d'!R38</f>
        <v>0</v>
      </c>
      <c r="S38" s="815">
        <f>L38+R38</f>
        <v>0</v>
      </c>
      <c r="U38" s="814">
        <f>'[1]5.d'!U38</f>
        <v>0</v>
      </c>
      <c r="V38" s="815">
        <f>'[1]5.d'!V38</f>
        <v>0</v>
      </c>
      <c r="X38" s="814">
        <f>'[1]5.d'!X38</f>
        <v>0</v>
      </c>
      <c r="Y38" s="815">
        <f>'[1]5.d'!Y38</f>
        <v>0</v>
      </c>
      <c r="AA38" s="814">
        <f>'[1]5.d'!AA38</f>
        <v>0</v>
      </c>
      <c r="AB38" s="815">
        <f>'[1]5.d'!AB38</f>
        <v>0</v>
      </c>
    </row>
    <row r="39" spans="1:28" s="816" customFormat="1" ht="24.75" customHeight="1" x14ac:dyDescent="0.25">
      <c r="A39" s="808">
        <f t="shared" si="31"/>
        <v>34</v>
      </c>
      <c r="B39" s="809"/>
      <c r="C39" s="809"/>
      <c r="D39" s="1303" t="s">
        <v>728</v>
      </c>
      <c r="E39" s="1304"/>
      <c r="F39" s="812"/>
      <c r="G39" s="782">
        <f>H39</f>
        <v>0</v>
      </c>
      <c r="H39" s="783">
        <f>'[1]5.d'!H39</f>
        <v>0</v>
      </c>
      <c r="I39" s="783">
        <f>J39</f>
        <v>0</v>
      </c>
      <c r="J39" s="783">
        <f>'[1]5.d'!J39</f>
        <v>0</v>
      </c>
      <c r="K39" s="783">
        <f t="shared" si="34"/>
        <v>0</v>
      </c>
      <c r="L39" s="783">
        <f t="shared" si="34"/>
        <v>0</v>
      </c>
      <c r="M39" s="819">
        <v>85</v>
      </c>
      <c r="N39" s="783">
        <f>'[1]5.d'!N39</f>
        <v>0</v>
      </c>
      <c r="O39" s="783">
        <f>K39-L39</f>
        <v>0</v>
      </c>
      <c r="P39" s="784">
        <f>'[1]5.d'!P39</f>
        <v>0</v>
      </c>
      <c r="Q39" s="813"/>
      <c r="R39" s="814">
        <f>'[1]5.d'!R39</f>
        <v>0</v>
      </c>
      <c r="S39" s="815">
        <f>L39+R39</f>
        <v>0</v>
      </c>
      <c r="U39" s="814">
        <f>'[1]5.d'!U39</f>
        <v>0</v>
      </c>
      <c r="V39" s="815">
        <f>'[1]5.d'!V39</f>
        <v>0</v>
      </c>
      <c r="X39" s="814">
        <f>'[1]5.d'!X39</f>
        <v>0</v>
      </c>
      <c r="Y39" s="815">
        <f>'[1]5.d'!Y39</f>
        <v>0</v>
      </c>
      <c r="AA39" s="814">
        <f>'[1]5.d'!AA39</f>
        <v>0</v>
      </c>
      <c r="AB39" s="815">
        <f>'[1]5.d'!AB39</f>
        <v>0</v>
      </c>
    </row>
    <row r="40" spans="1:28" s="816" customFormat="1" ht="12.75" x14ac:dyDescent="0.25">
      <c r="A40" s="808">
        <f t="shared" si="31"/>
        <v>35</v>
      </c>
      <c r="B40" s="817"/>
      <c r="C40" s="817"/>
      <c r="D40" s="1309" t="s">
        <v>729</v>
      </c>
      <c r="E40" s="1296"/>
      <c r="F40" s="818"/>
      <c r="G40" s="782">
        <f>H40</f>
        <v>0</v>
      </c>
      <c r="H40" s="783">
        <f>'[1]5.d'!H40</f>
        <v>0</v>
      </c>
      <c r="I40" s="783">
        <f>J40</f>
        <v>0</v>
      </c>
      <c r="J40" s="783">
        <f>'[1]5.d'!J40</f>
        <v>0</v>
      </c>
      <c r="K40" s="783">
        <f t="shared" si="34"/>
        <v>0</v>
      </c>
      <c r="L40" s="783">
        <f t="shared" si="34"/>
        <v>0</v>
      </c>
      <c r="M40" s="819">
        <v>85</v>
      </c>
      <c r="N40" s="783">
        <f>'[1]5.d'!N40</f>
        <v>0</v>
      </c>
      <c r="O40" s="783">
        <f>K40-L40</f>
        <v>0</v>
      </c>
      <c r="P40" s="784">
        <f>'[1]5.d'!P40</f>
        <v>0</v>
      </c>
      <c r="Q40" s="813"/>
      <c r="R40" s="814">
        <f>'[1]5.d'!R40</f>
        <v>0</v>
      </c>
      <c r="S40" s="815">
        <f>L40+R40</f>
        <v>0</v>
      </c>
      <c r="U40" s="814">
        <f>'[1]5.d'!U40</f>
        <v>0</v>
      </c>
      <c r="V40" s="815">
        <f>'[1]5.d'!V40</f>
        <v>0</v>
      </c>
      <c r="X40" s="814">
        <f>'[1]5.d'!X40</f>
        <v>0</v>
      </c>
      <c r="Y40" s="815">
        <f>'[1]5.d'!Y40</f>
        <v>0</v>
      </c>
      <c r="AA40" s="814">
        <f>'[1]5.d'!AA40</f>
        <v>0</v>
      </c>
      <c r="AB40" s="815">
        <f>'[1]5.d'!AB40</f>
        <v>0</v>
      </c>
    </row>
    <row r="41" spans="1:28" s="798" customFormat="1" ht="12.75" x14ac:dyDescent="0.25">
      <c r="A41" s="799">
        <f t="shared" ref="A41:A46" si="35">A40+1</f>
        <v>36</v>
      </c>
      <c r="B41" s="821"/>
      <c r="C41" s="1285" t="s">
        <v>730</v>
      </c>
      <c r="D41" s="1286"/>
      <c r="E41" s="1287"/>
      <c r="F41" s="822"/>
      <c r="G41" s="802">
        <f>G42</f>
        <v>0</v>
      </c>
      <c r="H41" s="803">
        <f>H42</f>
        <v>0</v>
      </c>
      <c r="I41" s="803">
        <f>I42</f>
        <v>0</v>
      </c>
      <c r="J41" s="803">
        <f>J42</f>
        <v>0</v>
      </c>
      <c r="K41" s="803">
        <f>+G41+I41</f>
        <v>0</v>
      </c>
      <c r="L41" s="803">
        <f>+H41+J41</f>
        <v>0</v>
      </c>
      <c r="M41" s="803"/>
      <c r="N41" s="803">
        <f>N42</f>
        <v>0</v>
      </c>
      <c r="O41" s="803">
        <f>+K41-L41</f>
        <v>0</v>
      </c>
      <c r="P41" s="804">
        <f>P42</f>
        <v>0</v>
      </c>
      <c r="Q41" s="805"/>
      <c r="R41" s="806">
        <f>R42</f>
        <v>0</v>
      </c>
      <c r="S41" s="807">
        <f t="shared" si="32"/>
        <v>0</v>
      </c>
      <c r="U41" s="806">
        <f>U42</f>
        <v>0</v>
      </c>
      <c r="V41" s="807">
        <f>V42</f>
        <v>0</v>
      </c>
      <c r="X41" s="806">
        <f>X42</f>
        <v>0</v>
      </c>
      <c r="Y41" s="807">
        <f>Y42</f>
        <v>0</v>
      </c>
      <c r="AA41" s="806">
        <f>AA42</f>
        <v>0</v>
      </c>
      <c r="AB41" s="807">
        <f>AB42</f>
        <v>0</v>
      </c>
    </row>
    <row r="42" spans="1:28" s="816" customFormat="1" ht="12.75" x14ac:dyDescent="0.25">
      <c r="A42" s="808">
        <f t="shared" si="35"/>
        <v>37</v>
      </c>
      <c r="B42" s="817"/>
      <c r="C42" s="809"/>
      <c r="D42" s="1276" t="s">
        <v>731</v>
      </c>
      <c r="E42" s="1276"/>
      <c r="F42" s="818"/>
      <c r="G42" s="782">
        <f>H42</f>
        <v>0</v>
      </c>
      <c r="H42" s="783">
        <f>'[1]5.d'!H42</f>
        <v>0</v>
      </c>
      <c r="I42" s="783">
        <f>J42</f>
        <v>0</v>
      </c>
      <c r="J42" s="783">
        <f>'[1]5.d'!J42</f>
        <v>0</v>
      </c>
      <c r="K42" s="783">
        <f>G42+I42</f>
        <v>0</v>
      </c>
      <c r="L42" s="783">
        <f>H42+J42</f>
        <v>0</v>
      </c>
      <c r="M42" s="783">
        <v>85</v>
      </c>
      <c r="N42" s="783">
        <f>'[1]5.d'!N42</f>
        <v>0</v>
      </c>
      <c r="O42" s="783">
        <f>K42-L42</f>
        <v>0</v>
      </c>
      <c r="P42" s="784">
        <f>'[1]5.d'!P42</f>
        <v>0</v>
      </c>
      <c r="Q42" s="813"/>
      <c r="R42" s="814">
        <f>'[1]5.d'!R42</f>
        <v>0</v>
      </c>
      <c r="S42" s="815">
        <f>L42+R42</f>
        <v>0</v>
      </c>
      <c r="U42" s="814">
        <f>'[1]5.d'!U42</f>
        <v>0</v>
      </c>
      <c r="V42" s="815">
        <f>'[1]5.d'!V42</f>
        <v>0</v>
      </c>
      <c r="X42" s="814">
        <f>'[1]5.d'!X42</f>
        <v>0</v>
      </c>
      <c r="Y42" s="815">
        <f>'[1]5.d'!Y42</f>
        <v>0</v>
      </c>
      <c r="AA42" s="814">
        <f>'[1]5.d'!AA42</f>
        <v>0</v>
      </c>
      <c r="AB42" s="815">
        <f>'[1]5.d'!AB42</f>
        <v>0</v>
      </c>
    </row>
    <row r="43" spans="1:28" s="213" customFormat="1" ht="12.75" x14ac:dyDescent="0.25">
      <c r="A43" s="224">
        <f t="shared" si="35"/>
        <v>38</v>
      </c>
      <c r="B43" s="1289" t="s">
        <v>885</v>
      </c>
      <c r="C43" s="1222"/>
      <c r="D43" s="1222"/>
      <c r="E43" s="1290"/>
      <c r="F43" s="352"/>
      <c r="G43" s="793">
        <f>G44</f>
        <v>0</v>
      </c>
      <c r="H43" s="794">
        <f>H44</f>
        <v>0</v>
      </c>
      <c r="I43" s="794">
        <f>I45</f>
        <v>0</v>
      </c>
      <c r="J43" s="794">
        <f>J44</f>
        <v>0</v>
      </c>
      <c r="K43" s="794">
        <f t="shared" ref="K43:P43" si="36">K44</f>
        <v>0</v>
      </c>
      <c r="L43" s="794">
        <f t="shared" si="36"/>
        <v>0</v>
      </c>
      <c r="M43" s="794"/>
      <c r="N43" s="794">
        <f t="shared" si="36"/>
        <v>0</v>
      </c>
      <c r="O43" s="794">
        <f t="shared" si="36"/>
        <v>0</v>
      </c>
      <c r="P43" s="795">
        <f t="shared" si="36"/>
        <v>0</v>
      </c>
      <c r="Q43" s="227"/>
      <c r="R43" s="797">
        <f>R44</f>
        <v>0</v>
      </c>
      <c r="S43" s="795">
        <f>S44</f>
        <v>0</v>
      </c>
      <c r="U43" s="797">
        <f>U44</f>
        <v>0</v>
      </c>
      <c r="V43" s="795">
        <f>V44</f>
        <v>0</v>
      </c>
      <c r="W43" s="881"/>
      <c r="X43" s="797">
        <f>X44</f>
        <v>0</v>
      </c>
      <c r="Y43" s="795">
        <f>Y44</f>
        <v>0</v>
      </c>
      <c r="Z43" s="881"/>
      <c r="AA43" s="797">
        <f>AA44</f>
        <v>0</v>
      </c>
      <c r="AB43" s="795">
        <f>AB44</f>
        <v>0</v>
      </c>
    </row>
    <row r="44" spans="1:28" s="213" customFormat="1" ht="12.75" x14ac:dyDescent="0.25">
      <c r="A44" s="229">
        <f t="shared" si="35"/>
        <v>39</v>
      </c>
      <c r="B44" s="1289" t="s">
        <v>740</v>
      </c>
      <c r="C44" s="1222"/>
      <c r="D44" s="1222"/>
      <c r="E44" s="1290"/>
      <c r="F44" s="352"/>
      <c r="G44" s="797">
        <f>G45</f>
        <v>0</v>
      </c>
      <c r="H44" s="794">
        <f t="shared" ref="H44:P44" si="37">H45</f>
        <v>0</v>
      </c>
      <c r="I44" s="794">
        <f t="shared" si="37"/>
        <v>0</v>
      </c>
      <c r="J44" s="794">
        <f t="shared" si="37"/>
        <v>0</v>
      </c>
      <c r="K44" s="794">
        <f t="shared" si="37"/>
        <v>0</v>
      </c>
      <c r="L44" s="794">
        <f t="shared" si="37"/>
        <v>0</v>
      </c>
      <c r="M44" s="794"/>
      <c r="N44" s="794">
        <f t="shared" si="37"/>
        <v>0</v>
      </c>
      <c r="O44" s="794">
        <f t="shared" si="37"/>
        <v>0</v>
      </c>
      <c r="P44" s="795">
        <f t="shared" si="37"/>
        <v>0</v>
      </c>
      <c r="Q44" s="882"/>
      <c r="R44" s="797">
        <f>R45</f>
        <v>0</v>
      </c>
      <c r="S44" s="795">
        <f>S45</f>
        <v>0</v>
      </c>
      <c r="U44" s="797">
        <f>U45</f>
        <v>0</v>
      </c>
      <c r="V44" s="795">
        <f>V45</f>
        <v>0</v>
      </c>
      <c r="W44" s="881"/>
      <c r="X44" s="797">
        <f>X45</f>
        <v>0</v>
      </c>
      <c r="Y44" s="795">
        <f>Y45</f>
        <v>0</v>
      </c>
      <c r="Z44" s="881"/>
      <c r="AA44" s="797">
        <f>AA45</f>
        <v>0</v>
      </c>
      <c r="AB44" s="795">
        <f>AB45</f>
        <v>0</v>
      </c>
    </row>
    <row r="45" spans="1:28" s="213" customFormat="1" ht="13.5" thickBot="1" x14ac:dyDescent="0.3">
      <c r="A45" s="214">
        <f t="shared" si="35"/>
        <v>40</v>
      </c>
      <c r="B45" s="344"/>
      <c r="C45" s="245"/>
      <c r="D45" s="245"/>
      <c r="E45" s="245"/>
      <c r="F45" s="342"/>
      <c r="G45" s="884">
        <v>0</v>
      </c>
      <c r="H45" s="885">
        <f>'[1]5.d'!$H$45</f>
        <v>0</v>
      </c>
      <c r="I45" s="885">
        <v>0</v>
      </c>
      <c r="J45" s="885">
        <f>'[1]5.d'!$J$45</f>
        <v>0</v>
      </c>
      <c r="K45" s="885">
        <f>+G45+I45</f>
        <v>0</v>
      </c>
      <c r="L45" s="885">
        <f>+H45+J45</f>
        <v>0</v>
      </c>
      <c r="M45" s="885"/>
      <c r="N45" s="885">
        <v>0</v>
      </c>
      <c r="O45" s="885">
        <f>+K45-L45</f>
        <v>0</v>
      </c>
      <c r="P45" s="886">
        <v>0</v>
      </c>
      <c r="Q45" s="343"/>
      <c r="R45" s="850">
        <f>'[1]5.d'!$R$45</f>
        <v>0</v>
      </c>
      <c r="S45" s="851">
        <f>L45+R45</f>
        <v>0</v>
      </c>
      <c r="U45" s="850">
        <f>'[1]5.d'!U45</f>
        <v>0</v>
      </c>
      <c r="V45" s="851">
        <f>'[1]5.d'!V45</f>
        <v>0</v>
      </c>
      <c r="W45" s="883"/>
      <c r="X45" s="850">
        <f>'[1]5.d'!X45</f>
        <v>0</v>
      </c>
      <c r="Y45" s="851">
        <f>'[1]5.d'!Y45</f>
        <v>0</v>
      </c>
      <c r="Z45" s="883"/>
      <c r="AA45" s="850">
        <f>'[1]5.d'!AA45</f>
        <v>0</v>
      </c>
      <c r="AB45" s="851">
        <f>'[1]5.d'!AB45</f>
        <v>0</v>
      </c>
    </row>
    <row r="46" spans="1:28" s="213" customFormat="1" ht="18.75" customHeight="1" thickBot="1" x14ac:dyDescent="0.3">
      <c r="A46" s="224">
        <f t="shared" si="35"/>
        <v>41</v>
      </c>
      <c r="B46" s="336" t="s">
        <v>813</v>
      </c>
      <c r="C46" s="336"/>
      <c r="D46" s="336"/>
      <c r="E46" s="336"/>
      <c r="F46" s="337"/>
      <c r="G46" s="887">
        <f t="shared" ref="G46:L46" si="38">+G6+G23+G34</f>
        <v>52761.287989999997</v>
      </c>
      <c r="H46" s="889">
        <f t="shared" si="38"/>
        <v>52761.287989999997</v>
      </c>
      <c r="I46" s="889">
        <f t="shared" si="38"/>
        <v>9386.9246799999983</v>
      </c>
      <c r="J46" s="889">
        <f t="shared" si="38"/>
        <v>9386.9246799999983</v>
      </c>
      <c r="K46" s="889">
        <f t="shared" si="38"/>
        <v>62148.212669999994</v>
      </c>
      <c r="L46" s="889">
        <f t="shared" si="38"/>
        <v>62148.212669999994</v>
      </c>
      <c r="M46" s="889"/>
      <c r="N46" s="889">
        <f>+N6+N23+N34</f>
        <v>8618.9790299999986</v>
      </c>
      <c r="O46" s="889">
        <f>+O6+O23+O34</f>
        <v>0</v>
      </c>
      <c r="P46" s="888">
        <f>+P6+P23+P34</f>
        <v>7454.1343299999999</v>
      </c>
      <c r="Q46" s="878"/>
      <c r="R46" s="887">
        <f>+R6+R23+R34</f>
        <v>0.27768999999999999</v>
      </c>
      <c r="S46" s="888">
        <f>+S6+S23+S34</f>
        <v>62148.490359999996</v>
      </c>
      <c r="T46" s="798"/>
      <c r="U46" s="887">
        <f>+U6+U23+U34</f>
        <v>43596.496890000002</v>
      </c>
      <c r="V46" s="888">
        <f>+V6+V23+V34</f>
        <v>1973.23883</v>
      </c>
      <c r="W46" s="798"/>
      <c r="X46" s="887">
        <f>+X6+X23+X34</f>
        <v>28272.285920000002</v>
      </c>
      <c r="Y46" s="888">
        <f>+Y6+Y23+Y34</f>
        <v>1973.23883</v>
      </c>
      <c r="Z46" s="798"/>
      <c r="AA46" s="887">
        <f>+AA6+AA23+AA34</f>
        <v>15324.21097</v>
      </c>
      <c r="AB46" s="888">
        <f>+AB6+AB23+AB34</f>
        <v>0</v>
      </c>
    </row>
    <row r="47" spans="1:28" s="339" customFormat="1" ht="18.75" customHeight="1" x14ac:dyDescent="0.25">
      <c r="A47" s="274"/>
      <c r="B47" s="338"/>
      <c r="C47" s="338"/>
      <c r="D47" s="338"/>
      <c r="E47" s="338"/>
      <c r="F47" s="338"/>
      <c r="G47" s="860"/>
      <c r="H47" s="871"/>
      <c r="I47" s="338"/>
      <c r="J47" s="338"/>
      <c r="K47" s="338"/>
      <c r="L47" s="338"/>
      <c r="M47" s="338"/>
      <c r="N47" s="869"/>
      <c r="O47" s="338"/>
      <c r="P47" s="869"/>
      <c r="R47" s="338"/>
      <c r="S47" s="338"/>
      <c r="W47" s="847"/>
      <c r="Z47" s="847"/>
    </row>
    <row r="48" spans="1:28" s="339" customFormat="1" ht="18.75" customHeight="1" x14ac:dyDescent="0.25">
      <c r="A48" s="274"/>
      <c r="B48" s="338"/>
      <c r="C48" s="338"/>
      <c r="D48" s="338"/>
      <c r="E48" s="338"/>
      <c r="F48" s="338"/>
      <c r="G48" s="861"/>
      <c r="H48" s="872"/>
      <c r="I48" s="353"/>
      <c r="J48" s="338"/>
      <c r="K48" s="338"/>
      <c r="L48" s="338"/>
      <c r="M48" s="338"/>
      <c r="N48" s="870"/>
      <c r="O48" s="338"/>
      <c r="P48" s="870"/>
      <c r="R48" s="338"/>
      <c r="S48" s="338"/>
      <c r="W48" s="847"/>
      <c r="Z48" s="847"/>
    </row>
    <row r="49" spans="1:28" ht="20.25" customHeight="1" x14ac:dyDescent="0.25">
      <c r="A49" s="213" t="s">
        <v>657</v>
      </c>
      <c r="E49" s="786"/>
      <c r="H49" s="873"/>
      <c r="I49" s="874"/>
      <c r="J49" s="875"/>
      <c r="N49" s="1030"/>
      <c r="O49" s="874"/>
      <c r="P49" s="875"/>
      <c r="U49" s="848"/>
      <c r="V49" s="848"/>
      <c r="W49" s="849"/>
      <c r="X49" s="848"/>
      <c r="Y49" s="848"/>
      <c r="Z49" s="849"/>
      <c r="AA49" s="848"/>
      <c r="AB49" s="848"/>
    </row>
    <row r="50" spans="1:28" ht="55.5" customHeight="1" x14ac:dyDescent="0.25">
      <c r="A50" s="1242" t="s">
        <v>908</v>
      </c>
      <c r="B50" s="1242"/>
      <c r="C50" s="1242"/>
      <c r="D50" s="1242"/>
      <c r="E50" s="1242"/>
      <c r="F50" s="1242"/>
      <c r="G50" s="1242"/>
      <c r="H50" s="1242"/>
      <c r="I50" s="1242"/>
      <c r="J50" s="1242"/>
      <c r="K50" s="1242"/>
      <c r="L50" s="1242"/>
      <c r="M50" s="1242"/>
      <c r="N50" s="1242"/>
      <c r="O50" s="1242"/>
      <c r="P50" s="1242"/>
      <c r="Q50" s="1242"/>
      <c r="R50" s="1242"/>
      <c r="S50" s="1242"/>
    </row>
    <row r="51" spans="1:28" ht="17.25" customHeight="1" x14ac:dyDescent="0.25">
      <c r="A51" s="1242" t="s">
        <v>886</v>
      </c>
      <c r="B51" s="1242"/>
      <c r="C51" s="1242"/>
      <c r="D51" s="1242"/>
      <c r="E51" s="1242"/>
      <c r="F51" s="1242"/>
      <c r="G51" s="1242"/>
      <c r="H51" s="1242"/>
      <c r="I51" s="1242"/>
      <c r="J51" s="1242"/>
      <c r="K51" s="1242"/>
      <c r="L51" s="1242"/>
      <c r="M51" s="1242"/>
      <c r="N51" s="1242"/>
      <c r="O51" s="1242"/>
      <c r="P51" s="1242"/>
      <c r="Q51" s="1242"/>
      <c r="R51" s="1242"/>
      <c r="S51" s="1242"/>
    </row>
    <row r="52" spans="1:28" ht="15" customHeight="1" x14ac:dyDescent="0.25">
      <c r="A52" s="1242" t="s">
        <v>1304</v>
      </c>
      <c r="B52" s="1242"/>
      <c r="C52" s="1242"/>
      <c r="D52" s="1242"/>
      <c r="E52" s="1242"/>
      <c r="F52" s="1242"/>
      <c r="G52" s="1242"/>
      <c r="H52" s="1242"/>
      <c r="I52" s="1242"/>
      <c r="J52" s="1242"/>
      <c r="K52" s="1242"/>
      <c r="L52" s="1242"/>
      <c r="M52" s="1242"/>
      <c r="N52" s="1242"/>
      <c r="O52" s="1242"/>
      <c r="P52" s="1242"/>
      <c r="Q52" s="1242"/>
      <c r="R52" s="1242"/>
      <c r="S52" s="1242"/>
    </row>
    <row r="53" spans="1:28" ht="15" customHeight="1" x14ac:dyDescent="0.25">
      <c r="A53" s="1242" t="s">
        <v>1305</v>
      </c>
      <c r="B53" s="1242"/>
      <c r="C53" s="1242"/>
      <c r="D53" s="1242"/>
      <c r="E53" s="1242"/>
      <c r="F53" s="1242"/>
      <c r="G53" s="1242"/>
      <c r="H53" s="1242"/>
      <c r="I53" s="1242"/>
      <c r="J53" s="1242"/>
      <c r="K53" s="1242"/>
      <c r="L53" s="1242"/>
      <c r="M53" s="1242"/>
      <c r="N53" s="1242"/>
      <c r="O53" s="1242"/>
      <c r="P53" s="1242"/>
      <c r="Q53" s="1242"/>
      <c r="R53" s="1242"/>
      <c r="S53" s="1242"/>
    </row>
    <row r="54" spans="1:28" ht="15" customHeight="1" x14ac:dyDescent="0.25">
      <c r="A54" s="1242" t="s">
        <v>883</v>
      </c>
      <c r="B54" s="1242"/>
      <c r="C54" s="1242"/>
      <c r="D54" s="1242"/>
      <c r="E54" s="1242"/>
      <c r="F54" s="1242"/>
      <c r="G54" s="1242"/>
      <c r="H54" s="1242"/>
      <c r="I54" s="1242"/>
      <c r="J54" s="1242"/>
      <c r="K54" s="1242"/>
      <c r="L54" s="1242"/>
      <c r="M54" s="1242"/>
      <c r="N54" s="1242"/>
      <c r="O54" s="1242"/>
      <c r="P54" s="1242"/>
      <c r="Q54" s="1242"/>
      <c r="R54" s="1242"/>
      <c r="S54" s="1242"/>
    </row>
    <row r="55" spans="1:28" ht="15" customHeight="1" x14ac:dyDescent="0.25">
      <c r="A55" s="1242" t="s">
        <v>1006</v>
      </c>
      <c r="B55" s="1242"/>
      <c r="C55" s="1242"/>
      <c r="D55" s="1242"/>
      <c r="E55" s="1242"/>
      <c r="F55" s="1242"/>
      <c r="G55" s="1242"/>
      <c r="H55" s="1242"/>
      <c r="I55" s="1242"/>
      <c r="J55" s="1242"/>
      <c r="K55" s="1242"/>
      <c r="L55" s="1242"/>
      <c r="M55" s="1242"/>
      <c r="N55" s="1242"/>
      <c r="O55" s="1242"/>
      <c r="P55" s="1242"/>
      <c r="Q55" s="1242"/>
      <c r="R55" s="1242"/>
      <c r="S55" s="1242"/>
    </row>
    <row r="56" spans="1:28" ht="15" customHeight="1" x14ac:dyDescent="0.25">
      <c r="A56" s="1242" t="s">
        <v>1004</v>
      </c>
      <c r="B56" s="1242"/>
      <c r="C56" s="1242"/>
      <c r="D56" s="1242"/>
      <c r="E56" s="1242"/>
      <c r="F56" s="1242"/>
      <c r="G56" s="1242"/>
      <c r="H56" s="1242"/>
      <c r="I56" s="1242"/>
      <c r="J56" s="1242"/>
      <c r="K56" s="1242"/>
      <c r="L56" s="1242"/>
      <c r="M56" s="1242"/>
      <c r="N56" s="1242"/>
      <c r="O56" s="1242"/>
      <c r="P56" s="1242"/>
      <c r="Q56" s="1242"/>
      <c r="R56" s="1242"/>
      <c r="S56" s="1242"/>
    </row>
    <row r="57" spans="1:28" ht="15" customHeight="1" x14ac:dyDescent="0.25">
      <c r="A57" s="1310" t="s">
        <v>1005</v>
      </c>
      <c r="B57" s="1310"/>
      <c r="C57" s="1310"/>
      <c r="D57" s="1310"/>
      <c r="E57" s="1310"/>
      <c r="F57" s="1310"/>
      <c r="G57" s="1310"/>
      <c r="H57" s="1310"/>
      <c r="I57" s="1310"/>
      <c r="J57" s="1310"/>
      <c r="K57" s="1310"/>
      <c r="L57" s="1310"/>
      <c r="M57" s="1310"/>
      <c r="N57" s="1310"/>
      <c r="O57" s="1310"/>
      <c r="P57" s="1310"/>
      <c r="Q57" s="1310"/>
      <c r="R57" s="1310"/>
      <c r="S57" s="1310"/>
    </row>
    <row r="58" spans="1:28" ht="30.75" customHeight="1" x14ac:dyDescent="0.25">
      <c r="A58" s="1242" t="s">
        <v>884</v>
      </c>
      <c r="B58" s="1242"/>
      <c r="C58" s="1242"/>
      <c r="D58" s="1242"/>
      <c r="E58" s="1242"/>
      <c r="F58" s="1242"/>
      <c r="G58" s="1242"/>
      <c r="H58" s="1242"/>
      <c r="I58" s="1242"/>
      <c r="J58" s="1242"/>
      <c r="K58" s="1242"/>
      <c r="L58" s="1242"/>
      <c r="M58" s="1242"/>
      <c r="N58" s="1242"/>
      <c r="O58" s="1242"/>
      <c r="P58" s="1242"/>
      <c r="Q58" s="1242"/>
      <c r="R58" s="1242"/>
      <c r="S58" s="1242"/>
    </row>
    <row r="59" spans="1:28" ht="14.25" customHeight="1" x14ac:dyDescent="0.25">
      <c r="C59" s="340"/>
      <c r="D59" s="340"/>
      <c r="E59" s="340"/>
      <c r="F59" s="340"/>
    </row>
    <row r="60" spans="1:28" x14ac:dyDescent="0.25">
      <c r="A60" s="213" t="s">
        <v>822</v>
      </c>
    </row>
  </sheetData>
  <mergeCells count="52">
    <mergeCell ref="A58:S58"/>
    <mergeCell ref="A51:S51"/>
    <mergeCell ref="A52:S52"/>
    <mergeCell ref="A53:S53"/>
    <mergeCell ref="A54:S54"/>
    <mergeCell ref="A57:S57"/>
    <mergeCell ref="A56:S56"/>
    <mergeCell ref="A55:S55"/>
    <mergeCell ref="B44:E44"/>
    <mergeCell ref="C19:E19"/>
    <mergeCell ref="D38:E38"/>
    <mergeCell ref="C41:E41"/>
    <mergeCell ref="D33:E33"/>
    <mergeCell ref="B23:E23"/>
    <mergeCell ref="D27:E27"/>
    <mergeCell ref="D39:E39"/>
    <mergeCell ref="B34:E34"/>
    <mergeCell ref="B35:E35"/>
    <mergeCell ref="D40:E40"/>
    <mergeCell ref="B24:E24"/>
    <mergeCell ref="D42:E42"/>
    <mergeCell ref="C11:E11"/>
    <mergeCell ref="D10:E10"/>
    <mergeCell ref="D12:E12"/>
    <mergeCell ref="D14:E14"/>
    <mergeCell ref="D13:E13"/>
    <mergeCell ref="A50:S50"/>
    <mergeCell ref="N3:N4"/>
    <mergeCell ref="A3:A5"/>
    <mergeCell ref="B3:E5"/>
    <mergeCell ref="B7:E7"/>
    <mergeCell ref="C8:E8"/>
    <mergeCell ref="B6:E6"/>
    <mergeCell ref="B30:E30"/>
    <mergeCell ref="C37:E37"/>
    <mergeCell ref="F3:F5"/>
    <mergeCell ref="P3:P4"/>
    <mergeCell ref="S3:S4"/>
    <mergeCell ref="D15:E15"/>
    <mergeCell ref="B43:E43"/>
    <mergeCell ref="B16:E16"/>
    <mergeCell ref="C17:E17"/>
    <mergeCell ref="AA3:AB3"/>
    <mergeCell ref="D9:E9"/>
    <mergeCell ref="U3:V3"/>
    <mergeCell ref="X3:Y3"/>
    <mergeCell ref="K3:L3"/>
    <mergeCell ref="O3:O4"/>
    <mergeCell ref="M3:M4"/>
    <mergeCell ref="R3:R4"/>
    <mergeCell ref="G3:H3"/>
    <mergeCell ref="I3:J3"/>
  </mergeCells>
  <phoneticPr fontId="15" type="noConversion"/>
  <pageMargins left="0.51181102362204722" right="0.51181102362204722" top="0.78740157480314965" bottom="0.78740157480314965" header="0.31496062992125984" footer="0.31496062992125984"/>
  <pageSetup paperSize="9" scale="5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workbookViewId="0"/>
  </sheetViews>
  <sheetFormatPr defaultRowHeight="12.75" x14ac:dyDescent="0.25"/>
  <cols>
    <col min="1" max="1" width="3.28515625" style="4" customWidth="1"/>
    <col min="2" max="2" width="7.85546875" style="4" customWidth="1"/>
    <col min="3" max="3" width="56.7109375" style="4" customWidth="1"/>
    <col min="4" max="4" width="17" style="4" customWidth="1"/>
    <col min="5" max="5" width="16.5703125" style="4" customWidth="1"/>
    <col min="6" max="6" width="11.42578125" style="4" customWidth="1"/>
    <col min="7" max="7" width="2.42578125" style="4" customWidth="1"/>
    <col min="8" max="16384" width="9.140625" style="4"/>
  </cols>
  <sheetData>
    <row r="1" spans="1:7" ht="15.75" x14ac:dyDescent="0.25">
      <c r="A1" s="470" t="s">
        <v>1371</v>
      </c>
      <c r="B1" s="8"/>
      <c r="C1" s="8"/>
      <c r="D1" s="33"/>
      <c r="E1" s="9"/>
      <c r="F1" s="37"/>
      <c r="G1" s="27"/>
    </row>
    <row r="2" spans="1:7" s="2" customFormat="1" ht="13.5" thickBot="1" x14ac:dyDescent="0.3">
      <c r="A2" s="9"/>
      <c r="B2" s="9"/>
      <c r="C2" s="9"/>
      <c r="D2" s="9"/>
      <c r="E2" s="9"/>
      <c r="F2" s="10" t="s">
        <v>524</v>
      </c>
      <c r="G2" s="9"/>
    </row>
    <row r="3" spans="1:7" s="5" customFormat="1" ht="19.5" customHeight="1" x14ac:dyDescent="0.2">
      <c r="A3" s="1322" t="s">
        <v>497</v>
      </c>
      <c r="B3" s="1324" t="s">
        <v>785</v>
      </c>
      <c r="C3" s="1324"/>
      <c r="D3" s="1326" t="s">
        <v>1372</v>
      </c>
      <c r="E3" s="1327"/>
      <c r="F3" s="1328"/>
      <c r="G3" s="28"/>
    </row>
    <row r="4" spans="1:7" s="5" customFormat="1" ht="13.5" customHeight="1" thickBot="1" x14ac:dyDescent="0.25">
      <c r="A4" s="1323"/>
      <c r="B4" s="1325"/>
      <c r="C4" s="1325"/>
      <c r="D4" s="132" t="s">
        <v>611</v>
      </c>
      <c r="E4" s="132" t="s">
        <v>525</v>
      </c>
      <c r="F4" s="11" t="s">
        <v>522</v>
      </c>
      <c r="G4" s="28"/>
    </row>
    <row r="5" spans="1:7" s="5" customFormat="1" ht="12.75" customHeight="1" x14ac:dyDescent="0.2">
      <c r="A5" s="82" t="s">
        <v>1218</v>
      </c>
      <c r="B5" s="1329" t="s">
        <v>1206</v>
      </c>
      <c r="C5" s="1329"/>
      <c r="D5" s="77">
        <f>SUM(D6:D9)</f>
        <v>0</v>
      </c>
      <c r="E5" s="77">
        <f>SUM(E6:E9)</f>
        <v>2336.7682599999998</v>
      </c>
      <c r="F5" s="78">
        <f t="shared" ref="F5:F21" si="0">SUM(D5+E5)</f>
        <v>2336.7682599999998</v>
      </c>
      <c r="G5" s="28"/>
    </row>
    <row r="6" spans="1:7" s="5" customFormat="1" ht="12.75" customHeight="1" x14ac:dyDescent="0.2">
      <c r="A6" s="133" t="s">
        <v>1219</v>
      </c>
      <c r="B6" s="1313" t="s">
        <v>658</v>
      </c>
      <c r="C6" s="73" t="s">
        <v>1207</v>
      </c>
      <c r="D6" s="62">
        <v>0</v>
      </c>
      <c r="E6" s="62">
        <v>0</v>
      </c>
      <c r="F6" s="39">
        <f t="shared" si="0"/>
        <v>0</v>
      </c>
      <c r="G6" s="28"/>
    </row>
    <row r="7" spans="1:7" s="5" customFormat="1" ht="12.75" customHeight="1" x14ac:dyDescent="0.2">
      <c r="A7" s="133" t="s">
        <v>1220</v>
      </c>
      <c r="B7" s="1314"/>
      <c r="C7" s="73" t="s">
        <v>1208</v>
      </c>
      <c r="D7" s="62">
        <v>0</v>
      </c>
      <c r="E7" s="62">
        <f>1659.59932</f>
        <v>1659.59932</v>
      </c>
      <c r="F7" s="39">
        <f t="shared" si="0"/>
        <v>1659.59932</v>
      </c>
      <c r="G7" s="28"/>
    </row>
    <row r="8" spans="1:7" s="5" customFormat="1" ht="12.75" customHeight="1" x14ac:dyDescent="0.2">
      <c r="A8" s="133" t="s">
        <v>1221</v>
      </c>
      <c r="B8" s="1314"/>
      <c r="C8" s="73" t="s">
        <v>1209</v>
      </c>
      <c r="D8" s="62">
        <v>0</v>
      </c>
      <c r="E8" s="62">
        <v>668.16894000000002</v>
      </c>
      <c r="F8" s="39">
        <f t="shared" si="0"/>
        <v>668.16894000000002</v>
      </c>
      <c r="G8" s="28"/>
    </row>
    <row r="9" spans="1:7" s="5" customFormat="1" ht="12.75" customHeight="1" x14ac:dyDescent="0.2">
      <c r="A9" s="133" t="s">
        <v>1222</v>
      </c>
      <c r="B9" s="1315"/>
      <c r="C9" s="72" t="s">
        <v>1210</v>
      </c>
      <c r="D9" s="62">
        <v>0</v>
      </c>
      <c r="E9" s="62">
        <v>9</v>
      </c>
      <c r="F9" s="39">
        <f t="shared" si="0"/>
        <v>9</v>
      </c>
      <c r="G9" s="28"/>
    </row>
    <row r="10" spans="1:7" s="5" customFormat="1" ht="12.75" customHeight="1" x14ac:dyDescent="0.2">
      <c r="A10" s="74" t="s">
        <v>1223</v>
      </c>
      <c r="B10" s="1318" t="s">
        <v>1232</v>
      </c>
      <c r="C10" s="1319"/>
      <c r="D10" s="77">
        <f>'2'!D52-D11-D5</f>
        <v>48450.331530000003</v>
      </c>
      <c r="E10" s="77">
        <f>'2'!E52-E11-E5</f>
        <v>9697.214509999998</v>
      </c>
      <c r="F10" s="78">
        <f t="shared" si="0"/>
        <v>58147.546040000001</v>
      </c>
      <c r="G10" s="28"/>
    </row>
    <row r="11" spans="1:7" s="5" customFormat="1" ht="12.75" customHeight="1" x14ac:dyDescent="0.2">
      <c r="A11" s="74" t="s">
        <v>841</v>
      </c>
      <c r="B11" s="75" t="s">
        <v>781</v>
      </c>
      <c r="C11" s="76"/>
      <c r="D11" s="77">
        <f>SUM(D12:D15)</f>
        <v>954.89847000000009</v>
      </c>
      <c r="E11" s="77">
        <f>SUM(E12:E15)</f>
        <v>104.22723000000001</v>
      </c>
      <c r="F11" s="78">
        <f t="shared" si="0"/>
        <v>1059.1257000000001</v>
      </c>
      <c r="G11" s="28"/>
    </row>
    <row r="12" spans="1:7" s="5" customFormat="1" ht="12.75" customHeight="1" x14ac:dyDescent="0.2">
      <c r="A12" s="133" t="s">
        <v>1224</v>
      </c>
      <c r="B12" s="1313" t="s">
        <v>658</v>
      </c>
      <c r="C12" s="26" t="s">
        <v>528</v>
      </c>
      <c r="D12" s="38">
        <v>0</v>
      </c>
      <c r="E12" s="38">
        <v>0</v>
      </c>
      <c r="F12" s="39">
        <f t="shared" si="0"/>
        <v>0</v>
      </c>
      <c r="G12" s="28"/>
    </row>
    <row r="13" spans="1:7" s="5" customFormat="1" ht="12.75" customHeight="1" x14ac:dyDescent="0.2">
      <c r="A13" s="133" t="s">
        <v>1225</v>
      </c>
      <c r="B13" s="1314"/>
      <c r="C13" s="26" t="s">
        <v>527</v>
      </c>
      <c r="D13" s="415">
        <f>(65+40+20-21.666-13.33332-6.66666)+(8*46)</f>
        <v>451.33402000000001</v>
      </c>
      <c r="E13" s="415">
        <v>0</v>
      </c>
      <c r="F13" s="891">
        <f t="shared" si="0"/>
        <v>451.33402000000001</v>
      </c>
      <c r="G13" s="611"/>
    </row>
    <row r="14" spans="1:7" s="5" customFormat="1" ht="12.75" customHeight="1" x14ac:dyDescent="0.2">
      <c r="A14" s="133" t="s">
        <v>1226</v>
      </c>
      <c r="B14" s="1314"/>
      <c r="C14" s="26" t="s">
        <v>1215</v>
      </c>
      <c r="D14" s="38">
        <f>(150.738+803.66047)-D13+0.5</f>
        <v>503.56445000000008</v>
      </c>
      <c r="E14" s="38">
        <f>104.22723</f>
        <v>104.22723000000001</v>
      </c>
      <c r="F14" s="39">
        <f t="shared" si="0"/>
        <v>607.79168000000004</v>
      </c>
      <c r="G14" s="28"/>
    </row>
    <row r="15" spans="1:7" s="5" customFormat="1" ht="12.75" customHeight="1" x14ac:dyDescent="0.2">
      <c r="A15" s="133" t="s">
        <v>1227</v>
      </c>
      <c r="B15" s="1315"/>
      <c r="C15" s="26" t="s">
        <v>501</v>
      </c>
      <c r="D15" s="38">
        <v>0</v>
      </c>
      <c r="E15" s="38">
        <v>0</v>
      </c>
      <c r="F15" s="39"/>
      <c r="G15" s="28"/>
    </row>
    <row r="16" spans="1:7" s="5" customFormat="1" ht="12.75" customHeight="1" x14ac:dyDescent="0.2">
      <c r="A16" s="74" t="s">
        <v>843</v>
      </c>
      <c r="B16" s="75" t="s">
        <v>782</v>
      </c>
      <c r="C16" s="76"/>
      <c r="D16" s="77">
        <f>SUM(D17:D19)</f>
        <v>0</v>
      </c>
      <c r="E16" s="77">
        <f>SUM(E17:E19)</f>
        <v>0</v>
      </c>
      <c r="F16" s="78">
        <f t="shared" si="0"/>
        <v>0</v>
      </c>
      <c r="G16" s="28"/>
    </row>
    <row r="17" spans="1:7" s="5" customFormat="1" ht="12.75" customHeight="1" x14ac:dyDescent="0.2">
      <c r="A17" s="133" t="s">
        <v>1229</v>
      </c>
      <c r="B17" s="1313" t="s">
        <v>658</v>
      </c>
      <c r="C17" s="83" t="s">
        <v>528</v>
      </c>
      <c r="D17" s="38">
        <v>0</v>
      </c>
      <c r="E17" s="38">
        <v>0</v>
      </c>
      <c r="F17" s="39">
        <f t="shared" si="0"/>
        <v>0</v>
      </c>
      <c r="G17" s="28"/>
    </row>
    <row r="18" spans="1:7" s="5" customFormat="1" ht="12.75" customHeight="1" x14ac:dyDescent="0.2">
      <c r="A18" s="133" t="s">
        <v>1230</v>
      </c>
      <c r="B18" s="1314"/>
      <c r="C18" s="83" t="s">
        <v>527</v>
      </c>
      <c r="D18" s="38">
        <v>0</v>
      </c>
      <c r="E18" s="38">
        <v>0</v>
      </c>
      <c r="F18" s="39">
        <f t="shared" si="0"/>
        <v>0</v>
      </c>
      <c r="G18" s="28"/>
    </row>
    <row r="19" spans="1:7" ht="12.75" customHeight="1" x14ac:dyDescent="0.2">
      <c r="A19" s="133" t="s">
        <v>1228</v>
      </c>
      <c r="B19" s="1315"/>
      <c r="C19" s="83" t="s">
        <v>501</v>
      </c>
      <c r="D19" s="38">
        <v>0</v>
      </c>
      <c r="E19" s="38">
        <v>0</v>
      </c>
      <c r="F19" s="39">
        <f t="shared" si="0"/>
        <v>0</v>
      </c>
      <c r="G19" s="28"/>
    </row>
    <row r="20" spans="1:7" ht="12.75" customHeight="1" x14ac:dyDescent="0.2">
      <c r="A20" s="74" t="s">
        <v>1231</v>
      </c>
      <c r="B20" s="1318" t="s">
        <v>783</v>
      </c>
      <c r="C20" s="1319"/>
      <c r="D20" s="77">
        <f>'2'!D82</f>
        <v>1011.97</v>
      </c>
      <c r="E20" s="77">
        <f>'2'!E82</f>
        <v>0</v>
      </c>
      <c r="F20" s="78">
        <f t="shared" si="0"/>
        <v>1011.97</v>
      </c>
      <c r="G20" s="28"/>
    </row>
    <row r="21" spans="1:7" ht="12.75" customHeight="1" thickBot="1" x14ac:dyDescent="0.25">
      <c r="A21" s="79" t="s">
        <v>845</v>
      </c>
      <c r="B21" s="1316" t="s">
        <v>784</v>
      </c>
      <c r="C21" s="1317"/>
      <c r="D21" s="80">
        <v>0</v>
      </c>
      <c r="E21" s="80">
        <v>0</v>
      </c>
      <c r="F21" s="81">
        <f t="shared" si="0"/>
        <v>0</v>
      </c>
      <c r="G21" s="28"/>
    </row>
    <row r="22" spans="1:7" x14ac:dyDescent="0.2">
      <c r="A22" s="40"/>
      <c r="B22" s="27"/>
      <c r="C22" s="27"/>
      <c r="D22" s="27"/>
      <c r="E22" s="40"/>
      <c r="F22" s="41"/>
      <c r="G22" s="28"/>
    </row>
    <row r="23" spans="1:7" x14ac:dyDescent="0.2">
      <c r="A23" s="49" t="s">
        <v>657</v>
      </c>
      <c r="B23" s="50"/>
      <c r="C23" s="50"/>
      <c r="D23" s="27"/>
      <c r="E23" s="40"/>
      <c r="F23" s="41"/>
      <c r="G23" s="28"/>
    </row>
    <row r="24" spans="1:7" ht="27.75" customHeight="1" x14ac:dyDescent="0.2">
      <c r="A24" s="1320" t="s">
        <v>1253</v>
      </c>
      <c r="B24" s="1320"/>
      <c r="C24" s="1320"/>
      <c r="D24" s="1320"/>
      <c r="E24" s="1320"/>
      <c r="F24" s="1320"/>
      <c r="G24" s="28"/>
    </row>
    <row r="25" spans="1:7" ht="79.5" customHeight="1" x14ac:dyDescent="0.2">
      <c r="A25" s="1242" t="s">
        <v>1211</v>
      </c>
      <c r="B25" s="1321"/>
      <c r="C25" s="1321"/>
      <c r="D25" s="1321"/>
      <c r="E25" s="1321"/>
      <c r="F25" s="1321"/>
      <c r="G25" s="1"/>
    </row>
    <row r="26" spans="1:7" ht="81" customHeight="1" x14ac:dyDescent="0.2">
      <c r="A26" s="1311" t="s">
        <v>1212</v>
      </c>
      <c r="B26" s="1312"/>
      <c r="C26" s="1312"/>
      <c r="D26" s="1312"/>
      <c r="E26" s="1312"/>
      <c r="F26" s="1312"/>
      <c r="G26" s="1"/>
    </row>
    <row r="27" spans="1:7" ht="80.25" customHeight="1" x14ac:dyDescent="0.2">
      <c r="A27" s="1311" t="s">
        <v>786</v>
      </c>
      <c r="B27" s="1312"/>
      <c r="C27" s="1312"/>
      <c r="D27" s="1312"/>
      <c r="E27" s="1312"/>
      <c r="F27" s="1312"/>
      <c r="G27" s="1"/>
    </row>
    <row r="28" spans="1:7" ht="55.5" customHeight="1" x14ac:dyDescent="0.2">
      <c r="A28" s="1311" t="s">
        <v>1214</v>
      </c>
      <c r="B28" s="1312"/>
      <c r="C28" s="1312"/>
      <c r="D28" s="1312"/>
      <c r="E28" s="1312"/>
      <c r="F28" s="1312"/>
      <c r="G28" s="1"/>
    </row>
    <row r="29" spans="1:7" ht="43.5" customHeight="1" x14ac:dyDescent="0.2">
      <c r="A29" s="1311" t="s">
        <v>1</v>
      </c>
      <c r="B29" s="1312"/>
      <c r="C29" s="1312"/>
      <c r="D29" s="1312"/>
      <c r="E29" s="1312"/>
      <c r="F29" s="1312"/>
      <c r="G29" s="1"/>
    </row>
    <row r="30" spans="1:7" ht="15.75" customHeight="1" x14ac:dyDescent="0.2">
      <c r="A30" s="1311" t="s">
        <v>1216</v>
      </c>
      <c r="B30" s="1312"/>
      <c r="C30" s="1312"/>
      <c r="D30" s="1312"/>
      <c r="E30" s="1312"/>
      <c r="F30" s="1312"/>
      <c r="G30" s="1"/>
    </row>
    <row r="31" spans="1:7" ht="14.25" customHeight="1" x14ac:dyDescent="0.2">
      <c r="G31" s="1"/>
    </row>
    <row r="32" spans="1:7" x14ac:dyDescent="0.2">
      <c r="G32" s="1"/>
    </row>
    <row r="33" spans="1:7" x14ac:dyDescent="0.2">
      <c r="G33" s="1"/>
    </row>
    <row r="34" spans="1:7" x14ac:dyDescent="0.2">
      <c r="G34" s="1"/>
    </row>
    <row r="35" spans="1:7" x14ac:dyDescent="0.2">
      <c r="G35" s="1"/>
    </row>
    <row r="42" spans="1:7" x14ac:dyDescent="0.25">
      <c r="A42" s="3"/>
    </row>
    <row r="43" spans="1:7" x14ac:dyDescent="0.25">
      <c r="A43" s="3"/>
    </row>
  </sheetData>
  <sheetProtection formatRows="0" insertRows="0" deleteRows="0"/>
  <customSheetViews>
    <customSheetView guid="{2AF6EA2A-E5C5-45EB-B6C4-875AD1E4E056}" fitToPage="1" printArea="1" topLeftCell="A16">
      <selection activeCell="A30" sqref="A30:F30"/>
      <pageMargins left="0.59055118110236227" right="0.59055118110236227" top="0.6692913385826772" bottom="0.6692913385826772" header="0.15748031496062992" footer="0.15748031496062992"/>
      <printOptions horizontalCentered="1"/>
      <pageSetup paperSize="9" scale="80" orientation="portrait" cellComments="asDisplayed" horizontalDpi="300" verticalDpi="300" r:id="rId1"/>
      <headerFooter alignWithMargins="0"/>
    </customSheetView>
  </customSheetViews>
  <mergeCells count="17">
    <mergeCell ref="B12:B15"/>
    <mergeCell ref="A3:A4"/>
    <mergeCell ref="B3:C4"/>
    <mergeCell ref="D3:F3"/>
    <mergeCell ref="B5:C5"/>
    <mergeCell ref="B6:B9"/>
    <mergeCell ref="B10:C10"/>
    <mergeCell ref="A28:F28"/>
    <mergeCell ref="A30:F30"/>
    <mergeCell ref="A29:F29"/>
    <mergeCell ref="B17:B19"/>
    <mergeCell ref="B21:C21"/>
    <mergeCell ref="B20:C20"/>
    <mergeCell ref="A27:F27"/>
    <mergeCell ref="A24:F24"/>
    <mergeCell ref="A25:F25"/>
    <mergeCell ref="A26:F26"/>
  </mergeCells>
  <phoneticPr fontId="40" type="noConversion"/>
  <printOptions horizontalCentered="1"/>
  <pageMargins left="0.59055118110236227" right="0.59055118110236227" top="0.6692913385826772" bottom="0.6692913385826772" header="0.15748031496062992" footer="0.15748031496062992"/>
  <pageSetup paperSize="9" scale="80" orientation="portrait" cellComments="asDisplayed" horizontalDpi="300" verticalDpi="300"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2"/>
  <sheetViews>
    <sheetView zoomScaleNormal="100" workbookViewId="0"/>
  </sheetViews>
  <sheetFormatPr defaultRowHeight="12.75" x14ac:dyDescent="0.25"/>
  <cols>
    <col min="1" max="1" width="3.42578125" style="16" customWidth="1"/>
    <col min="2" max="2" width="49.5703125" style="15" customWidth="1"/>
    <col min="3" max="3" width="16.42578125" style="15" customWidth="1"/>
    <col min="4" max="4" width="17.7109375" style="15" customWidth="1"/>
    <col min="5" max="5" width="17.28515625" style="15" customWidth="1"/>
    <col min="6" max="6" width="17" style="15" customWidth="1"/>
    <col min="7" max="16384" width="9.140625" style="15"/>
  </cols>
  <sheetData>
    <row r="1" spans="1:6" ht="15.75" x14ac:dyDescent="0.25">
      <c r="A1" s="429" t="s">
        <v>899</v>
      </c>
      <c r="B1" s="19"/>
      <c r="C1" s="14"/>
      <c r="D1" s="14"/>
      <c r="E1" s="14"/>
    </row>
    <row r="2" spans="1:6" ht="13.5" thickBot="1" x14ac:dyDescent="0.3">
      <c r="A2" s="430"/>
      <c r="B2" s="14"/>
      <c r="C2" s="14"/>
      <c r="D2" s="20"/>
      <c r="E2" s="14"/>
      <c r="F2" s="431" t="s">
        <v>610</v>
      </c>
    </row>
    <row r="3" spans="1:6" ht="26.25" customHeight="1" x14ac:dyDescent="0.25">
      <c r="A3" s="1331" t="s">
        <v>497</v>
      </c>
      <c r="B3" s="1333" t="s">
        <v>529</v>
      </c>
      <c r="C3" s="432" t="s">
        <v>688</v>
      </c>
      <c r="D3" s="432" t="s">
        <v>689</v>
      </c>
      <c r="E3" s="433" t="s">
        <v>687</v>
      </c>
      <c r="F3" s="434" t="s">
        <v>791</v>
      </c>
    </row>
    <row r="4" spans="1:6" ht="12" customHeight="1" thickBot="1" x14ac:dyDescent="0.3">
      <c r="A4" s="1332"/>
      <c r="B4" s="1334"/>
      <c r="C4" s="91" t="s">
        <v>577</v>
      </c>
      <c r="D4" s="91" t="s">
        <v>578</v>
      </c>
      <c r="E4" s="91" t="s">
        <v>579</v>
      </c>
      <c r="F4" s="93" t="s">
        <v>580</v>
      </c>
    </row>
    <row r="5" spans="1:6" ht="18" customHeight="1" x14ac:dyDescent="0.25">
      <c r="A5" s="435">
        <v>1</v>
      </c>
      <c r="B5" s="436" t="s">
        <v>780</v>
      </c>
      <c r="C5" s="437">
        <f>SUM(C6:C9)</f>
        <v>15513</v>
      </c>
      <c r="D5" s="437">
        <f>SUM(D6:D9)</f>
        <v>16943.024449999997</v>
      </c>
      <c r="E5" s="437">
        <f>SUM(E6:E9)</f>
        <v>15485</v>
      </c>
      <c r="F5" s="438">
        <v>0</v>
      </c>
    </row>
    <row r="6" spans="1:6" ht="12.75" customHeight="1" x14ac:dyDescent="0.25">
      <c r="A6" s="439">
        <v>2</v>
      </c>
      <c r="B6" s="440" t="s">
        <v>530</v>
      </c>
      <c r="C6" s="441">
        <v>0</v>
      </c>
      <c r="D6" s="1146">
        <f>7389.55618-0.1</f>
        <v>7389.4561799999992</v>
      </c>
      <c r="E6" s="1151">
        <v>14192</v>
      </c>
      <c r="F6" s="855">
        <f>D6/E6</f>
        <v>0.52067757750845545</v>
      </c>
    </row>
    <row r="7" spans="1:6" ht="12.75" customHeight="1" x14ac:dyDescent="0.25">
      <c r="A7" s="439">
        <v>3</v>
      </c>
      <c r="B7" s="442" t="s">
        <v>612</v>
      </c>
      <c r="C7" s="1146">
        <v>14694</v>
      </c>
      <c r="D7" s="441">
        <v>0</v>
      </c>
      <c r="E7" s="1151">
        <v>782</v>
      </c>
      <c r="F7" s="854">
        <f>C7/E7</f>
        <v>18.790281329923275</v>
      </c>
    </row>
    <row r="8" spans="1:6" ht="12.75" customHeight="1" x14ac:dyDescent="0.25">
      <c r="A8" s="439">
        <v>4</v>
      </c>
      <c r="B8" s="442" t="s">
        <v>613</v>
      </c>
      <c r="C8" s="1146">
        <v>819</v>
      </c>
      <c r="D8" s="441">
        <v>0</v>
      </c>
      <c r="E8" s="1151">
        <v>306</v>
      </c>
      <c r="F8" s="854">
        <f>C8/E8</f>
        <v>2.6764705882352939</v>
      </c>
    </row>
    <row r="9" spans="1:6" ht="12.75" customHeight="1" x14ac:dyDescent="0.25">
      <c r="A9" s="439">
        <v>5</v>
      </c>
      <c r="B9" s="443" t="s">
        <v>531</v>
      </c>
      <c r="C9" s="441">
        <v>0</v>
      </c>
      <c r="D9" s="1146">
        <f>80.196+(1321.95819+404.61956+1500)+425.4315+(2221.73802+599.625+3000)+0</f>
        <v>9553.5682699999998</v>
      </c>
      <c r="E9" s="1151">
        <v>205</v>
      </c>
      <c r="F9" s="854">
        <f>D9/E9</f>
        <v>46.602772048780487</v>
      </c>
    </row>
    <row r="10" spans="1:6" ht="21" customHeight="1" x14ac:dyDescent="0.25">
      <c r="A10" s="444">
        <v>6</v>
      </c>
      <c r="B10" s="445" t="s">
        <v>962</v>
      </c>
      <c r="C10" s="446">
        <f>SUM(C11:C17)</f>
        <v>0</v>
      </c>
      <c r="D10" s="446">
        <f>SUM(D11:D17)</f>
        <v>25174.566710000003</v>
      </c>
      <c r="E10" s="446">
        <f>SUM(E11:E17)</f>
        <v>6066.6</v>
      </c>
      <c r="F10" s="447">
        <v>0</v>
      </c>
    </row>
    <row r="11" spans="1:6" ht="38.25" x14ac:dyDescent="0.25">
      <c r="A11" s="439">
        <v>7</v>
      </c>
      <c r="B11" s="448" t="s">
        <v>1307</v>
      </c>
      <c r="C11" s="441">
        <v>0</v>
      </c>
      <c r="D11" s="1147">
        <f>80.196+32892.83252+491.4353-D9-D12-D13</f>
        <v>16439.015890000002</v>
      </c>
      <c r="E11" s="1151">
        <v>1394</v>
      </c>
      <c r="F11" s="1152">
        <f t="shared" ref="F11:F17" si="0">D11/E11</f>
        <v>11.792694325681493</v>
      </c>
    </row>
    <row r="12" spans="1:6" ht="12.75" customHeight="1" x14ac:dyDescent="0.25">
      <c r="A12" s="439">
        <v>8</v>
      </c>
      <c r="B12" s="449" t="s">
        <v>614</v>
      </c>
      <c r="C12" s="441">
        <v>0</v>
      </c>
      <c r="D12" s="1147">
        <v>345.79399999999998</v>
      </c>
      <c r="E12" s="1151">
        <v>1045</v>
      </c>
      <c r="F12" s="1152">
        <f t="shared" si="0"/>
        <v>0.33090334928229664</v>
      </c>
    </row>
    <row r="13" spans="1:6" ht="25.5" x14ac:dyDescent="0.25">
      <c r="A13" s="450">
        <v>9</v>
      </c>
      <c r="B13" s="449" t="s">
        <v>1306</v>
      </c>
      <c r="C13" s="441">
        <v>0</v>
      </c>
      <c r="D13" s="1148">
        <v>7126.0856599999997</v>
      </c>
      <c r="E13" s="1153">
        <v>381</v>
      </c>
      <c r="F13" s="1152">
        <f t="shared" si="0"/>
        <v>18.703636902887137</v>
      </c>
    </row>
    <row r="14" spans="1:6" ht="25.5" x14ac:dyDescent="0.25">
      <c r="A14" s="450">
        <v>10</v>
      </c>
      <c r="B14" s="451" t="s">
        <v>733</v>
      </c>
      <c r="C14" s="441">
        <v>0</v>
      </c>
      <c r="D14" s="1148">
        <v>45</v>
      </c>
      <c r="E14" s="1149">
        <v>9</v>
      </c>
      <c r="F14" s="854">
        <f t="shared" si="0"/>
        <v>5</v>
      </c>
    </row>
    <row r="15" spans="1:6" ht="38.25" x14ac:dyDescent="0.25">
      <c r="A15" s="450">
        <v>11</v>
      </c>
      <c r="B15" s="451" t="s">
        <v>734</v>
      </c>
      <c r="C15" s="441">
        <v>0</v>
      </c>
      <c r="D15" s="1148">
        <v>830</v>
      </c>
      <c r="E15" s="1149">
        <f>D15/0.5</f>
        <v>1660</v>
      </c>
      <c r="F15" s="854">
        <f t="shared" si="0"/>
        <v>0.5</v>
      </c>
    </row>
    <row r="16" spans="1:6" ht="63.75" x14ac:dyDescent="0.25">
      <c r="A16" s="450">
        <v>12</v>
      </c>
      <c r="B16" s="451" t="s">
        <v>736</v>
      </c>
      <c r="C16" s="441">
        <v>0</v>
      </c>
      <c r="D16" s="1148">
        <f>270.37116</f>
        <v>270.37115999999997</v>
      </c>
      <c r="E16" s="1150">
        <f>45*3+18-4+1192</f>
        <v>1341</v>
      </c>
      <c r="F16" s="854">
        <f t="shared" si="0"/>
        <v>0.20161906040268454</v>
      </c>
    </row>
    <row r="17" spans="1:6" ht="39" thickBot="1" x14ac:dyDescent="0.3">
      <c r="A17" s="450">
        <v>13</v>
      </c>
      <c r="B17" s="451" t="s">
        <v>1308</v>
      </c>
      <c r="C17" s="452">
        <v>0</v>
      </c>
      <c r="D17" s="1148">
        <v>118.3</v>
      </c>
      <c r="E17" s="1150">
        <f>D17/0.5</f>
        <v>236.6</v>
      </c>
      <c r="F17" s="453">
        <f t="shared" si="0"/>
        <v>0.5</v>
      </c>
    </row>
    <row r="18" spans="1:6" ht="17.25" customHeight="1" thickBot="1" x14ac:dyDescent="0.3">
      <c r="A18" s="454">
        <v>14</v>
      </c>
      <c r="B18" s="455" t="s">
        <v>628</v>
      </c>
      <c r="C18" s="456">
        <f>C5+C10</f>
        <v>15513</v>
      </c>
      <c r="D18" s="456">
        <f>D5+D10</f>
        <v>42117.591159999996</v>
      </c>
      <c r="E18" s="456">
        <f>E5+E10</f>
        <v>21551.599999999999</v>
      </c>
      <c r="F18" s="457">
        <v>0</v>
      </c>
    </row>
    <row r="19" spans="1:6" ht="12.75" customHeight="1" x14ac:dyDescent="0.25">
      <c r="A19" s="458"/>
      <c r="B19" s="391"/>
      <c r="C19" s="459"/>
      <c r="D19" s="459"/>
      <c r="E19" s="460"/>
      <c r="F19" s="363"/>
    </row>
    <row r="20" spans="1:6" ht="12.75" customHeight="1" x14ac:dyDescent="0.25">
      <c r="A20" s="461" t="s">
        <v>657</v>
      </c>
      <c r="B20" s="462"/>
      <c r="C20" s="463"/>
      <c r="D20" s="463"/>
      <c r="E20" s="464"/>
      <c r="F20" s="461"/>
    </row>
    <row r="21" spans="1:6" ht="24.75" customHeight="1" x14ac:dyDescent="0.25">
      <c r="A21" s="1330" t="s">
        <v>988</v>
      </c>
      <c r="B21" s="1330"/>
      <c r="C21" s="1330"/>
      <c r="D21" s="1330"/>
      <c r="E21" s="1330"/>
      <c r="F21" s="1330"/>
    </row>
    <row r="22" spans="1:6" ht="12.75" customHeight="1" x14ac:dyDescent="0.25">
      <c r="A22" s="126" t="s">
        <v>986</v>
      </c>
      <c r="B22" s="126"/>
      <c r="C22" s="68"/>
      <c r="D22" s="68"/>
      <c r="E22" s="68"/>
      <c r="F22" s="465"/>
    </row>
    <row r="23" spans="1:6" ht="26.25" customHeight="1" x14ac:dyDescent="0.25">
      <c r="A23" s="1330" t="s">
        <v>705</v>
      </c>
      <c r="B23" s="1330"/>
      <c r="C23" s="1330"/>
      <c r="D23" s="1330"/>
      <c r="E23" s="1330"/>
      <c r="F23" s="1330"/>
    </row>
    <row r="24" spans="1:6" ht="15" customHeight="1" x14ac:dyDescent="0.25">
      <c r="A24" s="68" t="s">
        <v>963</v>
      </c>
      <c r="B24" s="67"/>
      <c r="C24" s="67"/>
      <c r="D24" s="67"/>
      <c r="E24" s="67"/>
      <c r="F24" s="67"/>
    </row>
    <row r="25" spans="1:6" ht="27.75" customHeight="1" x14ac:dyDescent="0.25">
      <c r="A25" s="1330" t="s">
        <v>964</v>
      </c>
      <c r="B25" s="1330"/>
      <c r="C25" s="1330"/>
      <c r="D25" s="1330"/>
      <c r="E25" s="1330"/>
      <c r="F25" s="1330"/>
    </row>
    <row r="26" spans="1:6" ht="12.75" customHeight="1" x14ac:dyDescent="0.25">
      <c r="A26" s="68"/>
      <c r="B26" s="67"/>
      <c r="C26" s="67"/>
      <c r="D26" s="67"/>
      <c r="E26" s="67"/>
      <c r="F26" s="67"/>
    </row>
    <row r="27" spans="1:6" ht="12.75" customHeight="1" x14ac:dyDescent="0.25">
      <c r="A27" s="68" t="s">
        <v>704</v>
      </c>
      <c r="B27" s="67"/>
      <c r="C27" s="67"/>
      <c r="D27" s="67"/>
      <c r="E27" s="67"/>
      <c r="F27" s="67"/>
    </row>
    <row r="28" spans="1:6" x14ac:dyDescent="0.25">
      <c r="A28" s="68" t="s">
        <v>985</v>
      </c>
      <c r="B28" s="466"/>
      <c r="C28" s="68"/>
      <c r="D28" s="68"/>
      <c r="E28" s="68"/>
      <c r="F28" s="465"/>
    </row>
    <row r="29" spans="1:6" x14ac:dyDescent="0.25">
      <c r="A29" s="68" t="s">
        <v>987</v>
      </c>
      <c r="B29" s="14"/>
      <c r="C29" s="14"/>
      <c r="D29" s="467"/>
      <c r="E29" s="14"/>
    </row>
    <row r="31" spans="1:6" x14ac:dyDescent="0.25">
      <c r="B31" s="431" t="s">
        <v>737</v>
      </c>
      <c r="C31" s="15">
        <f>'11.c'!C4</f>
        <v>15513.239170000001</v>
      </c>
    </row>
    <row r="32" spans="1:6" x14ac:dyDescent="0.25">
      <c r="B32" s="468" t="s">
        <v>738</v>
      </c>
      <c r="C32" s="469">
        <f>C31-C18</f>
        <v>0.2391700000007404</v>
      </c>
    </row>
    <row r="130" spans="1:1" x14ac:dyDescent="0.25">
      <c r="A130" s="16" t="s">
        <v>1234</v>
      </c>
    </row>
    <row r="132" spans="1:1" x14ac:dyDescent="0.25">
      <c r="A132" s="16" t="s">
        <v>1234</v>
      </c>
    </row>
  </sheetData>
  <protectedRanges>
    <protectedRange sqref="D19:D20 D6:D9 D11:D17" name="Oblast1"/>
  </protectedRanges>
  <mergeCells count="5">
    <mergeCell ref="A25:F25"/>
    <mergeCell ref="A23:F23"/>
    <mergeCell ref="A21:F21"/>
    <mergeCell ref="A3:A4"/>
    <mergeCell ref="B3:B4"/>
  </mergeCells>
  <phoneticPr fontId="15" type="noConversion"/>
  <printOptions horizontalCentered="1"/>
  <pageMargins left="0" right="0" top="0.78740157480314965" bottom="0.78740157480314965" header="0.51181102362204722" footer="0.51181102362204722"/>
  <pageSetup paperSize="9" scale="70" orientation="landscape" cellComments="asDisplayed" horizontalDpi="300" verticalDpi="300" r:id="rId1"/>
  <headerFooter alignWithMargins="0"/>
  <ignoredErrors>
    <ignoredError sqref="C5:D5 D10 C9:C10 D7:D8 E5 E10" unlocked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67"/>
  <sheetViews>
    <sheetView workbookViewId="0"/>
  </sheetViews>
  <sheetFormatPr defaultRowHeight="12.75" x14ac:dyDescent="0.25"/>
  <cols>
    <col min="1" max="1" width="3.85546875" style="13" customWidth="1"/>
    <col min="2" max="2" width="6.42578125" style="48" customWidth="1"/>
    <col min="3" max="3" width="9.28515625" style="48" customWidth="1"/>
    <col min="4" max="4" width="16.28515625" style="48" customWidth="1"/>
    <col min="5" max="5" width="9.7109375" style="48" customWidth="1"/>
    <col min="6" max="6" width="8.5703125" style="48" customWidth="1"/>
    <col min="7" max="7" width="8.7109375" style="48" customWidth="1"/>
    <col min="8" max="8" width="9.7109375" style="48" customWidth="1"/>
    <col min="9" max="10" width="10.42578125" style="13" customWidth="1"/>
    <col min="11" max="11" width="9.5703125" style="13" customWidth="1"/>
    <col min="12" max="12" width="8.85546875" style="13" customWidth="1"/>
    <col min="13" max="13" width="10" style="13" customWidth="1"/>
    <col min="14" max="14" width="8.85546875" style="13" customWidth="1"/>
    <col min="15" max="15" width="8.28515625" style="13" customWidth="1"/>
    <col min="16" max="16" width="9.5703125" style="13" customWidth="1"/>
    <col min="17" max="17" width="8.5703125" style="13" customWidth="1"/>
    <col min="18" max="18" width="9.140625" style="13"/>
    <col min="19" max="19" width="8.42578125" style="13" customWidth="1"/>
    <col min="20" max="20" width="9.42578125" style="13" customWidth="1"/>
    <col min="21" max="21" width="8.42578125" style="13" customWidth="1"/>
    <col min="22" max="16384" width="9.140625" style="13"/>
  </cols>
  <sheetData>
    <row r="1" spans="1:42" ht="15.75" x14ac:dyDescent="0.25">
      <c r="A1" s="19" t="s">
        <v>1373</v>
      </c>
      <c r="B1" s="42"/>
      <c r="C1" s="42"/>
      <c r="D1" s="42"/>
      <c r="E1" s="42"/>
      <c r="F1" s="42"/>
      <c r="G1" s="42"/>
      <c r="H1" s="42"/>
      <c r="I1" s="36"/>
      <c r="J1" s="36"/>
      <c r="K1" s="36"/>
      <c r="L1" s="36"/>
      <c r="M1" s="36"/>
      <c r="N1" s="36"/>
      <c r="O1" s="36"/>
      <c r="P1" s="27"/>
      <c r="Q1" s="27"/>
      <c r="R1" s="27"/>
      <c r="S1" s="27"/>
      <c r="T1" s="27"/>
      <c r="U1" s="27"/>
      <c r="V1" s="27"/>
      <c r="W1" s="9"/>
      <c r="X1" s="9"/>
    </row>
    <row r="2" spans="1:42" s="55" customFormat="1" ht="15" customHeight="1" x14ac:dyDescent="0.25"/>
    <row r="3" spans="1:42" s="55" customFormat="1" ht="15" customHeight="1" x14ac:dyDescent="0.25">
      <c r="A3" s="394" t="s">
        <v>1374</v>
      </c>
    </row>
    <row r="4" spans="1:42" s="55" customFormat="1" ht="15" customHeight="1" thickBot="1" x14ac:dyDescent="0.3">
      <c r="R4" s="36"/>
      <c r="Z4" s="117" t="s">
        <v>524</v>
      </c>
    </row>
    <row r="5" spans="1:42" ht="28.5" customHeight="1" thickBot="1" x14ac:dyDescent="0.3">
      <c r="A5" s="1349" t="s">
        <v>497</v>
      </c>
      <c r="B5" s="1396" t="s">
        <v>533</v>
      </c>
      <c r="C5" s="1397"/>
      <c r="D5" s="1398"/>
      <c r="E5" s="1352" t="s">
        <v>654</v>
      </c>
      <c r="F5" s="1353"/>
      <c r="G5" s="1353"/>
      <c r="H5" s="1353"/>
      <c r="I5" s="1353"/>
      <c r="J5" s="1353"/>
      <c r="K5" s="1353"/>
      <c r="L5" s="1353"/>
      <c r="M5" s="1353"/>
      <c r="N5" s="1353"/>
      <c r="O5" s="1353"/>
      <c r="P5" s="1353"/>
      <c r="Q5" s="1353"/>
      <c r="R5" s="1353"/>
      <c r="S5" s="1353"/>
      <c r="T5" s="1353"/>
      <c r="U5" s="1353"/>
      <c r="V5" s="1353"/>
      <c r="W5" s="1353"/>
      <c r="X5" s="1353"/>
      <c r="Y5" s="1353"/>
      <c r="Z5" s="1354"/>
      <c r="AA5" s="55"/>
      <c r="AB5" s="55"/>
      <c r="AC5" s="55"/>
      <c r="AD5" s="55"/>
      <c r="AE5" s="55"/>
      <c r="AF5" s="55"/>
      <c r="AG5" s="55"/>
      <c r="AH5" s="55"/>
      <c r="AI5" s="55"/>
      <c r="AJ5" s="55"/>
      <c r="AK5" s="55"/>
      <c r="AL5" s="27"/>
      <c r="AM5" s="9"/>
      <c r="AN5" s="9"/>
    </row>
    <row r="6" spans="1:42" ht="19.5" customHeight="1" x14ac:dyDescent="0.25">
      <c r="A6" s="1350"/>
      <c r="B6" s="1399"/>
      <c r="C6" s="1400"/>
      <c r="D6" s="1401"/>
      <c r="E6" s="1346" t="s">
        <v>643</v>
      </c>
      <c r="F6" s="1347"/>
      <c r="G6" s="1347"/>
      <c r="H6" s="1348"/>
      <c r="I6" s="1346" t="s">
        <v>647</v>
      </c>
      <c r="J6" s="1347"/>
      <c r="K6" s="1347"/>
      <c r="L6" s="1348"/>
      <c r="M6" s="1346" t="s">
        <v>639</v>
      </c>
      <c r="N6" s="1347"/>
      <c r="O6" s="1347"/>
      <c r="P6" s="1347"/>
      <c r="Q6" s="1347"/>
      <c r="R6" s="1348"/>
      <c r="S6" s="1335" t="s">
        <v>637</v>
      </c>
      <c r="T6" s="1336"/>
      <c r="U6" s="1335" t="s">
        <v>525</v>
      </c>
      <c r="V6" s="1336"/>
      <c r="W6" s="1335" t="s">
        <v>640</v>
      </c>
      <c r="X6" s="1336"/>
      <c r="Y6" s="1355" t="s">
        <v>636</v>
      </c>
      <c r="Z6" s="1356"/>
      <c r="AA6" s="55"/>
      <c r="AB6" s="55"/>
      <c r="AC6" s="55"/>
      <c r="AD6" s="55"/>
      <c r="AE6" s="55"/>
      <c r="AF6" s="55"/>
      <c r="AG6" s="55"/>
      <c r="AH6" s="55"/>
      <c r="AI6" s="55"/>
      <c r="AJ6" s="55"/>
      <c r="AK6" s="55"/>
      <c r="AL6" s="55"/>
      <c r="AM6" s="55"/>
      <c r="AN6" s="27"/>
      <c r="AO6" s="9"/>
      <c r="AP6" s="9"/>
    </row>
    <row r="7" spans="1:42" ht="19.5" customHeight="1" x14ac:dyDescent="0.25">
      <c r="A7" s="1350"/>
      <c r="B7" s="1399"/>
      <c r="C7" s="1400"/>
      <c r="D7" s="1401"/>
      <c r="E7" s="1365" t="s">
        <v>638</v>
      </c>
      <c r="F7" s="1363"/>
      <c r="G7" s="1362" t="s">
        <v>646</v>
      </c>
      <c r="H7" s="1364"/>
      <c r="I7" s="1365" t="s">
        <v>887</v>
      </c>
      <c r="J7" s="1363"/>
      <c r="K7" s="1362" t="s">
        <v>648</v>
      </c>
      <c r="L7" s="1364"/>
      <c r="M7" s="1365" t="s">
        <v>655</v>
      </c>
      <c r="N7" s="1363"/>
      <c r="O7" s="1362" t="s">
        <v>656</v>
      </c>
      <c r="P7" s="1363"/>
      <c r="Q7" s="1362" t="s">
        <v>650</v>
      </c>
      <c r="R7" s="1364"/>
      <c r="S7" s="1337"/>
      <c r="T7" s="1338"/>
      <c r="U7" s="1337"/>
      <c r="V7" s="1338"/>
      <c r="W7" s="1337"/>
      <c r="X7" s="1338"/>
      <c r="Y7" s="1357"/>
      <c r="Z7" s="1358"/>
      <c r="AA7" s="55"/>
      <c r="AB7" s="55"/>
      <c r="AC7" s="55"/>
      <c r="AD7" s="55"/>
      <c r="AE7" s="55"/>
      <c r="AF7" s="55"/>
      <c r="AG7" s="55"/>
      <c r="AH7" s="55"/>
      <c r="AI7" s="55"/>
      <c r="AJ7" s="55"/>
      <c r="AK7" s="55"/>
      <c r="AL7" s="55"/>
      <c r="AM7" s="27"/>
      <c r="AN7" s="9"/>
      <c r="AO7" s="9"/>
    </row>
    <row r="8" spans="1:42" s="24" customFormat="1" ht="18.75" customHeight="1" thickBot="1" x14ac:dyDescent="0.3">
      <c r="A8" s="1351"/>
      <c r="B8" s="1402"/>
      <c r="C8" s="1403"/>
      <c r="D8" s="1404"/>
      <c r="E8" s="35" t="s">
        <v>532</v>
      </c>
      <c r="F8" s="54" t="s">
        <v>863</v>
      </c>
      <c r="G8" s="52" t="s">
        <v>532</v>
      </c>
      <c r="H8" s="53" t="s">
        <v>863</v>
      </c>
      <c r="I8" s="35" t="s">
        <v>532</v>
      </c>
      <c r="J8" s="52" t="s">
        <v>863</v>
      </c>
      <c r="K8" s="52" t="s">
        <v>532</v>
      </c>
      <c r="L8" s="53" t="s">
        <v>863</v>
      </c>
      <c r="M8" s="35" t="s">
        <v>532</v>
      </c>
      <c r="N8" s="52" t="s">
        <v>863</v>
      </c>
      <c r="O8" s="52" t="s">
        <v>532</v>
      </c>
      <c r="P8" s="52" t="s">
        <v>863</v>
      </c>
      <c r="Q8" s="52" t="s">
        <v>532</v>
      </c>
      <c r="R8" s="53" t="s">
        <v>863</v>
      </c>
      <c r="S8" s="35" t="s">
        <v>532</v>
      </c>
      <c r="T8" s="53" t="s">
        <v>863</v>
      </c>
      <c r="U8" s="35" t="s">
        <v>532</v>
      </c>
      <c r="V8" s="53" t="s">
        <v>863</v>
      </c>
      <c r="W8" s="35" t="s">
        <v>532</v>
      </c>
      <c r="X8" s="53" t="s">
        <v>863</v>
      </c>
      <c r="Y8" s="907" t="s">
        <v>1255</v>
      </c>
      <c r="Z8" s="116" t="s">
        <v>863</v>
      </c>
      <c r="AA8" s="57"/>
      <c r="AB8" s="57"/>
      <c r="AC8" s="57"/>
      <c r="AD8" s="57"/>
      <c r="AE8" s="57"/>
      <c r="AF8" s="57"/>
      <c r="AG8" s="57"/>
      <c r="AH8" s="57"/>
      <c r="AI8" s="57"/>
      <c r="AJ8" s="57"/>
      <c r="AK8" s="57"/>
      <c r="AL8" s="57"/>
      <c r="AM8" s="59"/>
      <c r="AN8" s="23"/>
      <c r="AO8" s="23"/>
    </row>
    <row r="9" spans="1:42" s="15" customFormat="1" ht="15" customHeight="1" x14ac:dyDescent="0.25">
      <c r="A9" s="354">
        <v>1</v>
      </c>
      <c r="B9" s="1380" t="s">
        <v>649</v>
      </c>
      <c r="C9" s="1344" t="s">
        <v>635</v>
      </c>
      <c r="D9" s="1345"/>
      <c r="E9" s="355">
        <f>F26</f>
        <v>202275.96900000001</v>
      </c>
      <c r="F9" s="356"/>
      <c r="G9" s="357"/>
      <c r="H9" s="358"/>
      <c r="I9" s="355"/>
      <c r="J9" s="357"/>
      <c r="K9" s="357"/>
      <c r="L9" s="358"/>
      <c r="M9" s="355"/>
      <c r="N9" s="357"/>
      <c r="O9" s="357"/>
      <c r="P9" s="357"/>
      <c r="Q9" s="357"/>
      <c r="R9" s="358"/>
      <c r="S9" s="355">
        <v>0</v>
      </c>
      <c r="T9" s="358">
        <v>0</v>
      </c>
      <c r="U9" s="355"/>
      <c r="V9" s="358"/>
      <c r="W9" s="359"/>
      <c r="X9" s="360"/>
      <c r="Y9" s="361"/>
      <c r="Z9" s="362"/>
      <c r="AA9" s="55"/>
      <c r="AB9" s="55"/>
      <c r="AC9" s="55"/>
      <c r="AD9" s="55"/>
      <c r="AE9" s="55"/>
      <c r="AF9" s="55"/>
      <c r="AG9" s="363"/>
      <c r="AH9" s="14"/>
      <c r="AI9" s="14"/>
    </row>
    <row r="10" spans="1:42" s="15" customFormat="1" ht="15" customHeight="1" x14ac:dyDescent="0.25">
      <c r="A10" s="354">
        <v>2</v>
      </c>
      <c r="B10" s="1392"/>
      <c r="C10" s="1366" t="s">
        <v>535</v>
      </c>
      <c r="D10" s="1367"/>
      <c r="E10" s="364">
        <f>F27</f>
        <v>19640.098999999998</v>
      </c>
      <c r="F10" s="365"/>
      <c r="G10" s="366"/>
      <c r="H10" s="367"/>
      <c r="I10" s="364"/>
      <c r="J10" s="366"/>
      <c r="K10" s="366"/>
      <c r="L10" s="367"/>
      <c r="M10" s="364"/>
      <c r="N10" s="366"/>
      <c r="O10" s="366"/>
      <c r="P10" s="366"/>
      <c r="Q10" s="366"/>
      <c r="R10" s="367"/>
      <c r="S10" s="364">
        <v>0</v>
      </c>
      <c r="T10" s="367">
        <v>0</v>
      </c>
      <c r="U10" s="364"/>
      <c r="V10" s="367"/>
      <c r="W10" s="368"/>
      <c r="X10" s="369"/>
      <c r="Y10" s="370"/>
      <c r="Z10" s="371"/>
      <c r="AA10" s="55"/>
      <c r="AB10" s="55"/>
      <c r="AC10" s="55"/>
      <c r="AD10" s="55"/>
      <c r="AE10" s="55"/>
      <c r="AF10" s="55"/>
      <c r="AG10" s="363"/>
      <c r="AH10" s="14"/>
      <c r="AI10" s="14"/>
    </row>
    <row r="11" spans="1:42" s="15" customFormat="1" ht="15" customHeight="1" x14ac:dyDescent="0.25">
      <c r="A11" s="96">
        <v>3</v>
      </c>
      <c r="B11" s="1392"/>
      <c r="C11" s="1386" t="s">
        <v>501</v>
      </c>
      <c r="D11" s="1387"/>
      <c r="E11" s="364">
        <f>F28</f>
        <v>87968.679000000004</v>
      </c>
      <c r="F11" s="365"/>
      <c r="G11" s="366"/>
      <c r="H11" s="367"/>
      <c r="I11" s="364"/>
      <c r="J11" s="366"/>
      <c r="K11" s="366"/>
      <c r="L11" s="367"/>
      <c r="M11" s="364"/>
      <c r="N11" s="366"/>
      <c r="O11" s="366"/>
      <c r="P11" s="366"/>
      <c r="Q11" s="366"/>
      <c r="R11" s="367"/>
      <c r="S11" s="364">
        <v>0</v>
      </c>
      <c r="T11" s="367">
        <v>0</v>
      </c>
      <c r="U11" s="364"/>
      <c r="V11" s="367"/>
      <c r="W11" s="368"/>
      <c r="X11" s="369"/>
      <c r="Y11" s="370"/>
      <c r="Z11" s="371"/>
      <c r="AA11" s="55"/>
      <c r="AB11" s="55"/>
      <c r="AC11" s="55"/>
      <c r="AD11" s="55"/>
      <c r="AE11" s="55"/>
      <c r="AF11" s="55"/>
      <c r="AG11" s="363"/>
      <c r="AH11" s="14"/>
      <c r="AI11" s="14"/>
    </row>
    <row r="12" spans="1:42" s="15" customFormat="1" ht="15" customHeight="1" x14ac:dyDescent="0.25">
      <c r="A12" s="96">
        <v>4</v>
      </c>
      <c r="B12" s="1359" t="s">
        <v>534</v>
      </c>
      <c r="C12" s="1360"/>
      <c r="D12" s="1361"/>
      <c r="E12" s="364">
        <f>F29</f>
        <v>865.41300000000001</v>
      </c>
      <c r="F12" s="365"/>
      <c r="G12" s="366"/>
      <c r="H12" s="367"/>
      <c r="I12" s="364"/>
      <c r="J12" s="366"/>
      <c r="K12" s="366"/>
      <c r="L12" s="367"/>
      <c r="M12" s="364"/>
      <c r="N12" s="366"/>
      <c r="O12" s="366"/>
      <c r="P12" s="366"/>
      <c r="Q12" s="366"/>
      <c r="R12" s="367"/>
      <c r="S12" s="364">
        <v>0</v>
      </c>
      <c r="T12" s="367">
        <v>0</v>
      </c>
      <c r="U12" s="364"/>
      <c r="V12" s="367"/>
      <c r="W12" s="368"/>
      <c r="X12" s="369"/>
      <c r="Y12" s="370"/>
      <c r="Z12" s="371"/>
      <c r="AA12" s="55"/>
      <c r="AB12" s="55"/>
      <c r="AC12" s="55"/>
      <c r="AD12" s="55"/>
      <c r="AE12" s="55"/>
      <c r="AF12" s="55"/>
      <c r="AG12" s="363"/>
      <c r="AH12" s="14"/>
      <c r="AI12" s="14"/>
    </row>
    <row r="13" spans="1:42" s="15" customFormat="1" ht="15" customHeight="1" thickBot="1" x14ac:dyDescent="0.3">
      <c r="A13" s="372">
        <v>5</v>
      </c>
      <c r="B13" s="1372" t="s">
        <v>644</v>
      </c>
      <c r="C13" s="1373"/>
      <c r="D13" s="1374"/>
      <c r="E13" s="373">
        <f>F30</f>
        <v>1E-8</v>
      </c>
      <c r="F13" s="374"/>
      <c r="G13" s="375"/>
      <c r="H13" s="376"/>
      <c r="I13" s="373"/>
      <c r="J13" s="375"/>
      <c r="K13" s="375"/>
      <c r="L13" s="376"/>
      <c r="M13" s="373"/>
      <c r="N13" s="375"/>
      <c r="O13" s="375"/>
      <c r="P13" s="375"/>
      <c r="Q13" s="375"/>
      <c r="R13" s="376"/>
      <c r="S13" s="377">
        <v>0</v>
      </c>
      <c r="T13" s="378">
        <v>0</v>
      </c>
      <c r="U13" s="379"/>
      <c r="V13" s="380"/>
      <c r="W13" s="381"/>
      <c r="X13" s="378"/>
      <c r="Y13" s="382"/>
      <c r="Z13" s="383"/>
      <c r="AA13" s="55"/>
      <c r="AB13" s="55"/>
      <c r="AC13" s="55"/>
      <c r="AD13" s="55"/>
      <c r="AE13" s="363"/>
      <c r="AF13" s="14"/>
      <c r="AG13" s="14"/>
    </row>
    <row r="14" spans="1:42" s="393" customFormat="1" ht="15" customHeight="1" thickBot="1" x14ac:dyDescent="0.3">
      <c r="A14" s="384">
        <v>6</v>
      </c>
      <c r="B14" s="1383" t="s">
        <v>636</v>
      </c>
      <c r="C14" s="1384"/>
      <c r="D14" s="1385"/>
      <c r="E14" s="385">
        <f>SUM(E9:E13)-G14</f>
        <v>252999.80800000997</v>
      </c>
      <c r="F14" s="386">
        <f>14565.376-H14</f>
        <v>13254.209000000001</v>
      </c>
      <c r="G14" s="387">
        <v>57750.351999999999</v>
      </c>
      <c r="H14" s="789">
        <v>1311.1669999999999</v>
      </c>
      <c r="I14" s="385">
        <f>9111.163-K14</f>
        <v>8548.9619999999995</v>
      </c>
      <c r="J14" s="387">
        <f>1582.303-L14</f>
        <v>1562.3030000000001</v>
      </c>
      <c r="K14" s="387">
        <f>Q25</f>
        <v>562.20100000000002</v>
      </c>
      <c r="L14" s="789">
        <f>R25</f>
        <v>20</v>
      </c>
      <c r="M14" s="385">
        <f>15384.547-O14-Q14</f>
        <v>7149.0910000000003</v>
      </c>
      <c r="N14" s="387">
        <f>10608.007-P14-R14</f>
        <v>10505.841</v>
      </c>
      <c r="O14" s="387">
        <v>8212.4279999999999</v>
      </c>
      <c r="P14" s="387">
        <v>0</v>
      </c>
      <c r="Q14" s="387">
        <f>Q16+Q17</f>
        <v>23.027999999999999</v>
      </c>
      <c r="R14" s="789">
        <f>R16+R17</f>
        <v>102.166</v>
      </c>
      <c r="S14" s="388">
        <f>SUM(S9:S13)</f>
        <v>0</v>
      </c>
      <c r="T14" s="389">
        <f>SUM(T9:T13)</f>
        <v>0</v>
      </c>
      <c r="U14" s="388">
        <v>4063.6320000000001</v>
      </c>
      <c r="V14" s="389">
        <v>440.97</v>
      </c>
      <c r="W14" s="852">
        <v>25828.257000000001</v>
      </c>
      <c r="X14" s="389">
        <v>3699.6729999999998</v>
      </c>
      <c r="Y14" s="853">
        <f>E14+G14+I14+K14+M14+O14+Q14+S14+U14+W14</f>
        <v>365137.75900000997</v>
      </c>
      <c r="Z14" s="892">
        <f>F14+H14+J14+L14+N14+P14+R14+T14+V14+X14</f>
        <v>30896.329000000002</v>
      </c>
      <c r="AA14" s="390"/>
      <c r="AB14" s="390"/>
      <c r="AC14" s="390"/>
      <c r="AD14" s="390"/>
      <c r="AE14" s="391"/>
      <c r="AF14" s="392"/>
      <c r="AG14" s="392"/>
    </row>
    <row r="15" spans="1:42" s="1038" customFormat="1" ht="15" customHeight="1" x14ac:dyDescent="0.25">
      <c r="E15" s="1043" t="s">
        <v>1291</v>
      </c>
      <c r="F15" s="1044" t="s">
        <v>1292</v>
      </c>
      <c r="G15" s="1039" t="s">
        <v>1281</v>
      </c>
      <c r="H15" s="1038" t="s">
        <v>1282</v>
      </c>
      <c r="I15" s="1043" t="s">
        <v>1289</v>
      </c>
      <c r="J15" s="1044" t="s">
        <v>1290</v>
      </c>
      <c r="M15" s="1043" t="s">
        <v>1293</v>
      </c>
      <c r="N15" s="1045" t="s">
        <v>1294</v>
      </c>
      <c r="U15" s="1038" t="s">
        <v>1283</v>
      </c>
      <c r="V15" s="1038" t="s">
        <v>1284</v>
      </c>
      <c r="W15" s="1038" t="s">
        <v>1285</v>
      </c>
      <c r="X15" s="1038" t="s">
        <v>1286</v>
      </c>
      <c r="Y15" s="1038" t="s">
        <v>1287</v>
      </c>
      <c r="Z15" s="1038" t="s">
        <v>1288</v>
      </c>
    </row>
    <row r="16" spans="1:42" s="15" customFormat="1" ht="14.25" customHeight="1" x14ac:dyDescent="0.25">
      <c r="A16" s="394" t="s">
        <v>1375</v>
      </c>
      <c r="B16" s="395"/>
      <c r="C16" s="395"/>
      <c r="D16" s="395"/>
      <c r="E16" s="395"/>
      <c r="F16" s="395"/>
      <c r="G16" s="395"/>
      <c r="H16" s="395"/>
      <c r="I16" s="395"/>
      <c r="J16" s="395"/>
      <c r="K16" s="395"/>
      <c r="L16" s="395"/>
      <c r="M16" s="395"/>
      <c r="N16" s="395"/>
      <c r="O16" s="395"/>
      <c r="P16" s="395"/>
      <c r="Q16" s="1040">
        <v>23.027999999999999</v>
      </c>
      <c r="R16" s="1040">
        <v>102.166</v>
      </c>
      <c r="S16" s="1041" t="s">
        <v>1376</v>
      </c>
      <c r="T16" s="395"/>
      <c r="U16" s="395"/>
      <c r="V16" s="14"/>
      <c r="W16" s="14"/>
      <c r="X16" s="14"/>
    </row>
    <row r="17" spans="1:33" s="15" customFormat="1" ht="14.25" customHeight="1" thickBot="1" x14ac:dyDescent="0.3">
      <c r="A17" s="394"/>
      <c r="B17" s="395"/>
      <c r="C17" s="395"/>
      <c r="D17" s="395"/>
      <c r="E17" s="395"/>
      <c r="F17" s="395"/>
      <c r="G17" s="395"/>
      <c r="H17" s="395"/>
      <c r="I17" s="395"/>
      <c r="J17" s="395"/>
      <c r="K17" s="395"/>
      <c r="L17" s="395"/>
      <c r="M17" s="396" t="s">
        <v>524</v>
      </c>
      <c r="N17" s="55"/>
      <c r="O17" s="55"/>
      <c r="P17" s="55"/>
      <c r="Q17" s="1140">
        <v>0</v>
      </c>
      <c r="R17" s="1140">
        <v>0</v>
      </c>
      <c r="S17" s="1042" t="s">
        <v>1377</v>
      </c>
      <c r="T17" s="865"/>
      <c r="U17" s="55"/>
      <c r="V17" s="55"/>
      <c r="W17" s="14"/>
      <c r="X17" s="14"/>
    </row>
    <row r="18" spans="1:33" s="15" customFormat="1" ht="28.5" customHeight="1" x14ac:dyDescent="0.25">
      <c r="A18" s="1341" t="s">
        <v>497</v>
      </c>
      <c r="B18" s="1369" t="s">
        <v>533</v>
      </c>
      <c r="C18" s="1369"/>
      <c r="D18" s="1369"/>
      <c r="E18" s="1395" t="s">
        <v>651</v>
      </c>
      <c r="F18" s="1339"/>
      <c r="G18" s="1340"/>
      <c r="H18" s="1388" t="s">
        <v>653</v>
      </c>
      <c r="I18" s="1389"/>
      <c r="J18" s="1390"/>
      <c r="K18" s="1339" t="s">
        <v>636</v>
      </c>
      <c r="L18" s="1339"/>
      <c r="M18" s="1340"/>
      <c r="N18" s="55"/>
      <c r="O18" s="55"/>
      <c r="P18" s="55"/>
      <c r="Q18" s="55"/>
      <c r="R18" s="55"/>
      <c r="S18" s="55"/>
      <c r="T18" s="55"/>
      <c r="U18" s="55"/>
      <c r="V18" s="55"/>
      <c r="W18" s="14"/>
      <c r="X18" s="14"/>
    </row>
    <row r="19" spans="1:33" s="15" customFormat="1" ht="44.25" customHeight="1" x14ac:dyDescent="0.25">
      <c r="A19" s="1342"/>
      <c r="B19" s="1370"/>
      <c r="C19" s="1370"/>
      <c r="D19" s="1370"/>
      <c r="E19" s="397" t="s">
        <v>888</v>
      </c>
      <c r="F19" s="398" t="s">
        <v>652</v>
      </c>
      <c r="G19" s="399" t="s">
        <v>642</v>
      </c>
      <c r="H19" s="397" t="s">
        <v>641</v>
      </c>
      <c r="I19" s="398" t="s">
        <v>652</v>
      </c>
      <c r="J19" s="399" t="s">
        <v>642</v>
      </c>
      <c r="K19" s="400" t="s">
        <v>641</v>
      </c>
      <c r="L19" s="401" t="s">
        <v>652</v>
      </c>
      <c r="M19" s="399" t="s">
        <v>642</v>
      </c>
      <c r="N19" s="55"/>
      <c r="O19" s="55"/>
      <c r="P19" s="55"/>
      <c r="T19" s="55"/>
      <c r="U19" s="55"/>
      <c r="V19" s="55"/>
      <c r="W19" s="55"/>
      <c r="X19" s="55"/>
      <c r="Y19" s="55"/>
      <c r="Z19" s="55"/>
      <c r="AA19" s="55"/>
      <c r="AB19" s="55"/>
      <c r="AC19" s="55"/>
      <c r="AD19" s="55"/>
      <c r="AE19" s="55"/>
      <c r="AF19" s="55"/>
      <c r="AG19" s="55"/>
    </row>
    <row r="20" spans="1:33" s="16" customFormat="1" ht="25.5" customHeight="1" thickBot="1" x14ac:dyDescent="0.3">
      <c r="A20" s="1343"/>
      <c r="B20" s="1371"/>
      <c r="C20" s="1371"/>
      <c r="D20" s="1371"/>
      <c r="E20" s="402">
        <v>1</v>
      </c>
      <c r="F20" s="403">
        <v>2</v>
      </c>
      <c r="G20" s="404" t="s">
        <v>975</v>
      </c>
      <c r="H20" s="402">
        <v>4</v>
      </c>
      <c r="I20" s="403">
        <v>5</v>
      </c>
      <c r="J20" s="404" t="s">
        <v>976</v>
      </c>
      <c r="K20" s="405">
        <v>7</v>
      </c>
      <c r="L20" s="406">
        <v>8</v>
      </c>
      <c r="M20" s="404" t="s">
        <v>977</v>
      </c>
      <c r="N20" s="57"/>
      <c r="O20" s="55"/>
      <c r="P20" s="55"/>
      <c r="T20" s="55"/>
      <c r="U20" s="57"/>
      <c r="V20" s="57"/>
      <c r="W20" s="57"/>
      <c r="X20" s="57"/>
      <c r="Y20" s="57"/>
      <c r="Z20" s="57"/>
      <c r="AA20" s="57"/>
      <c r="AB20" s="57"/>
      <c r="AC20" s="57"/>
      <c r="AD20" s="57"/>
      <c r="AE20" s="57"/>
      <c r="AF20" s="57"/>
      <c r="AG20" s="57"/>
    </row>
    <row r="21" spans="1:33" s="15" customFormat="1" ht="13.5" customHeight="1" x14ac:dyDescent="0.25">
      <c r="A21" s="407">
        <v>1</v>
      </c>
      <c r="B21" s="1378" t="s">
        <v>645</v>
      </c>
      <c r="C21" s="1381" t="s">
        <v>890</v>
      </c>
      <c r="D21" s="408" t="s">
        <v>630</v>
      </c>
      <c r="E21" s="409">
        <v>35.158000000000001</v>
      </c>
      <c r="F21" s="410">
        <v>22970.797999999999</v>
      </c>
      <c r="G21" s="358">
        <f>F21/12/E21</f>
        <v>54.446588732768262</v>
      </c>
      <c r="H21" s="409">
        <f>39.995-E21</f>
        <v>4.8369999999999962</v>
      </c>
      <c r="I21" s="357">
        <f>26624.764-F21</f>
        <v>3653.9660000000003</v>
      </c>
      <c r="J21" s="367">
        <f t="shared" ref="J21:J31" si="0">I21/12/H21</f>
        <v>62.951657363379567</v>
      </c>
      <c r="K21" s="411">
        <f>E21+H21</f>
        <v>39.994999999999997</v>
      </c>
      <c r="L21" s="357">
        <f>F21+I21</f>
        <v>26624.763999999999</v>
      </c>
      <c r="M21" s="358">
        <f>L21/12/K21</f>
        <v>55.475192732424894</v>
      </c>
      <c r="N21" s="55"/>
      <c r="O21" s="55"/>
      <c r="P21" s="55"/>
      <c r="Q21" s="1139">
        <f>212.083+0</f>
        <v>212.083</v>
      </c>
      <c r="R21" s="1139">
        <f>0+0</f>
        <v>0</v>
      </c>
      <c r="S21" s="1138" t="s">
        <v>1366</v>
      </c>
      <c r="T21" s="55"/>
      <c r="U21" s="55"/>
      <c r="V21" s="55"/>
      <c r="W21" s="55"/>
      <c r="X21" s="55"/>
      <c r="Y21" s="55"/>
      <c r="Z21" s="55"/>
      <c r="AA21" s="55"/>
      <c r="AB21" s="55"/>
      <c r="AC21" s="55"/>
      <c r="AD21" s="55"/>
      <c r="AE21" s="55"/>
      <c r="AF21" s="55"/>
      <c r="AG21" s="55"/>
    </row>
    <row r="22" spans="1:33" s="15" customFormat="1" ht="14.25" customHeight="1" x14ac:dyDescent="0.25">
      <c r="A22" s="412">
        <v>2</v>
      </c>
      <c r="B22" s="1379"/>
      <c r="C22" s="1381"/>
      <c r="D22" s="413" t="s">
        <v>631</v>
      </c>
      <c r="E22" s="414">
        <v>106.95</v>
      </c>
      <c r="F22" s="415">
        <v>64729.601000000002</v>
      </c>
      <c r="G22" s="367">
        <f>F22/12/E22</f>
        <v>50.436030076359664</v>
      </c>
      <c r="H22" s="414">
        <f>113.105-E22</f>
        <v>6.1550000000000011</v>
      </c>
      <c r="I22" s="366">
        <f>71868.995-F22</f>
        <v>7139.393999999993</v>
      </c>
      <c r="J22" s="367">
        <f t="shared" si="0"/>
        <v>96.661169780666</v>
      </c>
      <c r="K22" s="416">
        <f t="shared" ref="K22:L30" si="1">E22+H22</f>
        <v>113.105</v>
      </c>
      <c r="L22" s="366">
        <f t="shared" si="1"/>
        <v>71868.994999999995</v>
      </c>
      <c r="M22" s="367">
        <f>L22/12/K22</f>
        <v>52.951531025743037</v>
      </c>
      <c r="N22" s="55"/>
      <c r="O22" s="55"/>
      <c r="P22" s="55"/>
      <c r="Q22" s="1139">
        <v>0</v>
      </c>
      <c r="R22" s="1139">
        <v>0</v>
      </c>
      <c r="S22" s="1138" t="s">
        <v>1271</v>
      </c>
      <c r="T22" s="55"/>
      <c r="U22" s="55"/>
      <c r="V22" s="55"/>
      <c r="W22" s="55"/>
      <c r="X22" s="55"/>
      <c r="Y22" s="55"/>
      <c r="Z22" s="55"/>
      <c r="AA22" s="55"/>
      <c r="AB22" s="55"/>
      <c r="AC22" s="55"/>
      <c r="AD22" s="55"/>
      <c r="AE22" s="55"/>
      <c r="AF22" s="55"/>
      <c r="AG22" s="55"/>
    </row>
    <row r="23" spans="1:33" s="15" customFormat="1" ht="15" customHeight="1" x14ac:dyDescent="0.25">
      <c r="A23" s="412">
        <v>3</v>
      </c>
      <c r="B23" s="1379"/>
      <c r="C23" s="1381"/>
      <c r="D23" s="413" t="s">
        <v>632</v>
      </c>
      <c r="E23" s="414">
        <v>293.96800000000002</v>
      </c>
      <c r="F23" s="415">
        <v>114190.322</v>
      </c>
      <c r="G23" s="367">
        <f t="shared" ref="G23:G29" si="2">F23/12/E23</f>
        <v>32.370394623451077</v>
      </c>
      <c r="H23" s="414">
        <f>308.319-E23</f>
        <v>14.350999999999999</v>
      </c>
      <c r="I23" s="366">
        <f>126618.43-F23</f>
        <v>12428.107999999993</v>
      </c>
      <c r="J23" s="367">
        <f t="shared" si="0"/>
        <v>72.167491231737586</v>
      </c>
      <c r="K23" s="416">
        <f t="shared" si="1"/>
        <v>308.31900000000002</v>
      </c>
      <c r="L23" s="366">
        <f t="shared" si="1"/>
        <v>126618.43</v>
      </c>
      <c r="M23" s="367">
        <f t="shared" ref="M23:M29" si="3">L23/12/K23</f>
        <v>34.222788194478227</v>
      </c>
      <c r="N23" s="55"/>
      <c r="O23" s="55"/>
      <c r="P23" s="55"/>
      <c r="Q23" s="1139">
        <v>333.11799999999999</v>
      </c>
      <c r="R23" s="1139">
        <v>0</v>
      </c>
      <c r="S23" s="1138" t="s">
        <v>1370</v>
      </c>
      <c r="T23" s="55"/>
      <c r="U23" s="55"/>
      <c r="V23" s="55"/>
      <c r="W23" s="55"/>
      <c r="X23" s="55"/>
      <c r="Y23" s="55"/>
      <c r="Z23" s="55"/>
      <c r="AA23" s="55"/>
      <c r="AB23" s="55"/>
      <c r="AC23" s="55"/>
      <c r="AD23" s="55"/>
      <c r="AE23" s="55"/>
      <c r="AF23" s="55"/>
      <c r="AG23" s="55"/>
    </row>
    <row r="24" spans="1:33" s="15" customFormat="1" ht="15" customHeight="1" x14ac:dyDescent="0.25">
      <c r="A24" s="412">
        <v>4</v>
      </c>
      <c r="B24" s="1379"/>
      <c r="C24" s="1381"/>
      <c r="D24" s="413" t="s">
        <v>633</v>
      </c>
      <c r="E24" s="414">
        <v>1E-10</v>
      </c>
      <c r="F24" s="415">
        <v>0</v>
      </c>
      <c r="G24" s="367">
        <f t="shared" si="2"/>
        <v>0</v>
      </c>
      <c r="H24" s="414">
        <f>0.000000001-E24</f>
        <v>9.000000000000001E-10</v>
      </c>
      <c r="I24" s="366">
        <f>0-F24</f>
        <v>0</v>
      </c>
      <c r="J24" s="367">
        <f t="shared" si="0"/>
        <v>0</v>
      </c>
      <c r="K24" s="416">
        <f t="shared" si="1"/>
        <v>1.0000000000000001E-9</v>
      </c>
      <c r="L24" s="366">
        <f t="shared" si="1"/>
        <v>0</v>
      </c>
      <c r="M24" s="367">
        <f t="shared" si="3"/>
        <v>0</v>
      </c>
      <c r="N24" s="55"/>
      <c r="O24" s="55"/>
      <c r="P24" s="55"/>
      <c r="Q24" s="1139">
        <v>17</v>
      </c>
      <c r="R24" s="1139">
        <v>20</v>
      </c>
      <c r="S24" s="1137" t="s">
        <v>1367</v>
      </c>
      <c r="T24" s="55"/>
      <c r="U24" s="55"/>
      <c r="V24" s="55"/>
      <c r="W24" s="55"/>
      <c r="X24" s="55"/>
      <c r="Y24" s="55"/>
      <c r="Z24" s="55"/>
      <c r="AA24" s="55"/>
      <c r="AB24" s="55"/>
      <c r="AC24" s="55"/>
      <c r="AD24" s="55"/>
      <c r="AE24" s="55"/>
      <c r="AF24" s="55"/>
      <c r="AG24" s="55"/>
    </row>
    <row r="25" spans="1:33" s="15" customFormat="1" ht="15" customHeight="1" x14ac:dyDescent="0.25">
      <c r="A25" s="412">
        <v>5</v>
      </c>
      <c r="B25" s="1379"/>
      <c r="C25" s="1381"/>
      <c r="D25" s="413" t="s">
        <v>634</v>
      </c>
      <c r="E25" s="414">
        <v>1.75</v>
      </c>
      <c r="F25" s="415">
        <v>385.24799999999999</v>
      </c>
      <c r="G25" s="367">
        <f t="shared" si="2"/>
        <v>18.345142857142857</v>
      </c>
      <c r="H25" s="414">
        <f>1.751-E25</f>
        <v>9.9999999999988987E-4</v>
      </c>
      <c r="I25" s="366">
        <f>385.246-F25</f>
        <v>-2.0000000000095497E-3</v>
      </c>
      <c r="J25" s="367">
        <f t="shared" si="0"/>
        <v>-0.16666666666748081</v>
      </c>
      <c r="K25" s="416">
        <f t="shared" si="1"/>
        <v>1.7509999999999999</v>
      </c>
      <c r="L25" s="366">
        <f t="shared" si="1"/>
        <v>385.24599999999998</v>
      </c>
      <c r="M25" s="367">
        <f t="shared" si="3"/>
        <v>18.334570721492483</v>
      </c>
      <c r="N25" s="55"/>
      <c r="O25" s="55"/>
      <c r="P25" s="55"/>
      <c r="Q25" s="1139">
        <f>SUM(Q21:Q24)</f>
        <v>562.20100000000002</v>
      </c>
      <c r="R25" s="1139">
        <f>SUM(R21:R24)</f>
        <v>20</v>
      </c>
      <c r="S25" s="1137" t="s">
        <v>536</v>
      </c>
      <c r="T25" s="55"/>
      <c r="U25" s="55"/>
      <c r="V25" s="55"/>
      <c r="W25" s="55"/>
      <c r="X25" s="55"/>
      <c r="Y25" s="55"/>
      <c r="Z25" s="55"/>
      <c r="AA25" s="55"/>
      <c r="AB25" s="55"/>
      <c r="AC25" s="55"/>
      <c r="AD25" s="55"/>
      <c r="AE25" s="55"/>
      <c r="AF25" s="55"/>
      <c r="AG25" s="55"/>
    </row>
    <row r="26" spans="1:33" s="15" customFormat="1" ht="15" customHeight="1" x14ac:dyDescent="0.25">
      <c r="A26" s="412">
        <v>6</v>
      </c>
      <c r="B26" s="1379"/>
      <c r="C26" s="1382"/>
      <c r="D26" s="413" t="s">
        <v>636</v>
      </c>
      <c r="E26" s="414">
        <f>SUM(E21:E25)</f>
        <v>437.82600000010001</v>
      </c>
      <c r="F26" s="415">
        <f>SUM(F21:F25)</f>
        <v>202275.96900000001</v>
      </c>
      <c r="G26" s="367">
        <f t="shared" si="2"/>
        <v>38.50006794935922</v>
      </c>
      <c r="H26" s="414">
        <f>SUM(H21:H25)</f>
        <v>25.344000000899996</v>
      </c>
      <c r="I26" s="415">
        <f>SUM(I21:I25)</f>
        <v>23221.465999999986</v>
      </c>
      <c r="J26" s="367">
        <f t="shared" si="0"/>
        <v>76.354252154275045</v>
      </c>
      <c r="K26" s="416">
        <f t="shared" si="1"/>
        <v>463.17000000100001</v>
      </c>
      <c r="L26" s="366">
        <f t="shared" si="1"/>
        <v>225497.435</v>
      </c>
      <c r="M26" s="367">
        <f t="shared" si="3"/>
        <v>40.571394772170251</v>
      </c>
      <c r="N26" s="55"/>
      <c r="O26" s="55"/>
      <c r="P26" s="55"/>
      <c r="Q26" s="55"/>
      <c r="R26" s="55"/>
      <c r="S26" s="55"/>
      <c r="T26" s="55"/>
      <c r="U26" s="55"/>
      <c r="V26" s="55"/>
      <c r="W26" s="55"/>
      <c r="X26" s="55"/>
      <c r="Y26" s="55"/>
      <c r="Z26" s="55"/>
      <c r="AA26" s="55"/>
      <c r="AB26" s="55"/>
      <c r="AC26" s="55"/>
      <c r="AD26" s="55"/>
      <c r="AE26" s="55"/>
      <c r="AF26" s="55"/>
      <c r="AG26" s="55"/>
    </row>
    <row r="27" spans="1:33" s="15" customFormat="1" ht="15" customHeight="1" x14ac:dyDescent="0.25">
      <c r="A27" s="412">
        <v>7</v>
      </c>
      <c r="B27" s="1379"/>
      <c r="C27" s="1376" t="s">
        <v>892</v>
      </c>
      <c r="D27" s="1377"/>
      <c r="E27" s="414">
        <v>37.131999999999998</v>
      </c>
      <c r="F27" s="415">
        <v>19640.098999999998</v>
      </c>
      <c r="G27" s="367">
        <f t="shared" si="2"/>
        <v>44.07720878667098</v>
      </c>
      <c r="H27" s="414">
        <f>68.608-E27</f>
        <v>31.476000000000006</v>
      </c>
      <c r="I27" s="366">
        <f>35818.405-F27</f>
        <v>16178.306</v>
      </c>
      <c r="J27" s="367">
        <f t="shared" si="0"/>
        <v>42.832385521243694</v>
      </c>
      <c r="K27" s="416">
        <f t="shared" si="1"/>
        <v>68.608000000000004</v>
      </c>
      <c r="L27" s="366">
        <f t="shared" si="1"/>
        <v>35818.404999999999</v>
      </c>
      <c r="M27" s="367">
        <f t="shared" si="3"/>
        <v>43.506108374144894</v>
      </c>
      <c r="N27" s="55"/>
      <c r="O27" s="55"/>
      <c r="P27" s="55"/>
      <c r="Q27" s="55"/>
      <c r="R27" s="55"/>
      <c r="S27" s="55"/>
      <c r="T27" s="55"/>
      <c r="U27" s="55"/>
      <c r="V27" s="55"/>
      <c r="W27" s="55"/>
      <c r="X27" s="55"/>
      <c r="Y27" s="55"/>
      <c r="Z27" s="55"/>
      <c r="AA27" s="55"/>
      <c r="AB27" s="55"/>
      <c r="AC27" s="55"/>
      <c r="AD27" s="55"/>
      <c r="AE27" s="55"/>
      <c r="AF27" s="55"/>
      <c r="AG27" s="55"/>
    </row>
    <row r="28" spans="1:33" s="15" customFormat="1" ht="15" customHeight="1" x14ac:dyDescent="0.25">
      <c r="A28" s="412">
        <v>8</v>
      </c>
      <c r="B28" s="1380"/>
      <c r="C28" s="1405" t="s">
        <v>893</v>
      </c>
      <c r="D28" s="1406"/>
      <c r="E28" s="414">
        <f>298.953-E29</f>
        <v>293.11999999999995</v>
      </c>
      <c r="F28" s="415">
        <f>88834.092-F29</f>
        <v>87968.679000000004</v>
      </c>
      <c r="G28" s="367">
        <f t="shared" si="2"/>
        <v>25.009290563591708</v>
      </c>
      <c r="H28" s="414">
        <f>329.024-E28-E29-H29</f>
        <v>15.772000000000055</v>
      </c>
      <c r="I28" s="366">
        <f>103821.917-F28-F29-I29</f>
        <v>11230.634999999997</v>
      </c>
      <c r="J28" s="367">
        <f t="shared" si="0"/>
        <v>59.338463733197841</v>
      </c>
      <c r="K28" s="416">
        <f t="shared" si="1"/>
        <v>308.892</v>
      </c>
      <c r="L28" s="366">
        <f t="shared" si="1"/>
        <v>99199.313999999998</v>
      </c>
      <c r="M28" s="367">
        <f t="shared" si="3"/>
        <v>26.76213530942854</v>
      </c>
      <c r="N28" s="55"/>
      <c r="O28" s="55"/>
      <c r="P28" s="55"/>
      <c r="Q28" s="55"/>
      <c r="R28" s="55"/>
      <c r="S28" s="55"/>
      <c r="T28" s="55"/>
      <c r="U28" s="55"/>
      <c r="V28" s="55"/>
      <c r="W28" s="55"/>
      <c r="X28" s="55"/>
      <c r="Y28" s="55"/>
      <c r="Z28" s="55"/>
      <c r="AA28" s="55"/>
      <c r="AB28" s="55"/>
      <c r="AC28" s="55"/>
      <c r="AD28" s="55"/>
      <c r="AE28" s="55"/>
      <c r="AF28" s="55"/>
      <c r="AG28" s="55"/>
    </row>
    <row r="29" spans="1:33" s="15" customFormat="1" ht="15" customHeight="1" x14ac:dyDescent="0.25">
      <c r="A29" s="412">
        <v>9</v>
      </c>
      <c r="B29" s="1407" t="s">
        <v>534</v>
      </c>
      <c r="C29" s="1407"/>
      <c r="D29" s="1407"/>
      <c r="E29" s="414">
        <f>5.833+0</f>
        <v>5.8330000000000002</v>
      </c>
      <c r="F29" s="415">
        <v>865.41300000000001</v>
      </c>
      <c r="G29" s="367">
        <f t="shared" si="2"/>
        <v>12.363749357106121</v>
      </c>
      <c r="H29" s="414">
        <f>2.917+11.382</f>
        <v>14.298999999999999</v>
      </c>
      <c r="I29" s="366">
        <f>1798.987+2823.616-F29</f>
        <v>3757.19</v>
      </c>
      <c r="J29" s="367">
        <f t="shared" si="0"/>
        <v>21.896577849266851</v>
      </c>
      <c r="K29" s="416">
        <f t="shared" si="1"/>
        <v>20.131999999999998</v>
      </c>
      <c r="L29" s="366">
        <f t="shared" si="1"/>
        <v>4622.6030000000001</v>
      </c>
      <c r="M29" s="367">
        <f t="shared" si="3"/>
        <v>19.13455775216902</v>
      </c>
      <c r="N29" s="55"/>
      <c r="O29" s="55"/>
      <c r="P29" s="55"/>
      <c r="Q29" s="55"/>
      <c r="R29" s="55"/>
      <c r="S29" s="55"/>
      <c r="T29" s="55"/>
      <c r="U29" s="55"/>
      <c r="V29" s="55"/>
      <c r="W29" s="55"/>
      <c r="X29" s="55"/>
      <c r="Y29" s="55"/>
      <c r="Z29" s="55"/>
      <c r="AA29" s="55"/>
      <c r="AB29" s="55"/>
      <c r="AC29" s="55"/>
      <c r="AD29" s="55"/>
      <c r="AE29" s="55"/>
      <c r="AF29" s="55"/>
      <c r="AG29" s="55"/>
    </row>
    <row r="30" spans="1:33" s="15" customFormat="1" ht="15" customHeight="1" thickBot="1" x14ac:dyDescent="0.3">
      <c r="A30" s="417">
        <v>10</v>
      </c>
      <c r="B30" s="1375" t="s">
        <v>644</v>
      </c>
      <c r="C30" s="1375"/>
      <c r="D30" s="1375"/>
      <c r="E30" s="418">
        <v>0</v>
      </c>
      <c r="F30" s="419">
        <v>1E-8</v>
      </c>
      <c r="G30" s="420">
        <f>E30/12/F30</f>
        <v>0</v>
      </c>
      <c r="H30" s="418">
        <v>9.9999999999999995E-7</v>
      </c>
      <c r="I30" s="421">
        <v>0</v>
      </c>
      <c r="J30" s="376">
        <f t="shared" si="0"/>
        <v>0</v>
      </c>
      <c r="K30" s="422">
        <f t="shared" si="1"/>
        <v>9.9999999999999995E-7</v>
      </c>
      <c r="L30" s="421">
        <f t="shared" si="1"/>
        <v>1E-8</v>
      </c>
      <c r="M30" s="420">
        <f>L30/12/K30</f>
        <v>8.3333333333333339E-4</v>
      </c>
      <c r="N30" s="55"/>
      <c r="O30" s="55"/>
      <c r="P30" s="55"/>
      <c r="Q30" s="55"/>
      <c r="R30" s="55"/>
      <c r="S30" s="55"/>
      <c r="T30" s="55"/>
      <c r="U30" s="55"/>
      <c r="V30" s="55"/>
      <c r="W30" s="55"/>
      <c r="X30" s="55"/>
      <c r="Y30" s="55"/>
      <c r="Z30" s="55"/>
      <c r="AA30" s="55"/>
      <c r="AB30" s="55"/>
      <c r="AC30" s="55"/>
      <c r="AD30" s="55"/>
      <c r="AE30" s="55"/>
      <c r="AF30" s="55"/>
      <c r="AG30" s="55"/>
    </row>
    <row r="31" spans="1:33" s="393" customFormat="1" ht="15" customHeight="1" thickBot="1" x14ac:dyDescent="0.3">
      <c r="A31" s="423">
        <v>11</v>
      </c>
      <c r="B31" s="1393" t="s">
        <v>636</v>
      </c>
      <c r="C31" s="1393"/>
      <c r="D31" s="1393"/>
      <c r="E31" s="424">
        <f>E26+E27+E28+E29+E30</f>
        <v>773.91100000009999</v>
      </c>
      <c r="F31" s="425">
        <f t="shared" ref="F31:L31" si="4">F26+F27+F28+F29+F30</f>
        <v>310750.16000000999</v>
      </c>
      <c r="G31" s="426">
        <f>F31/12/E31</f>
        <v>33.46101382027669</v>
      </c>
      <c r="H31" s="424">
        <f t="shared" si="4"/>
        <v>86.891001000900047</v>
      </c>
      <c r="I31" s="425">
        <f t="shared" si="4"/>
        <v>54387.59699999998</v>
      </c>
      <c r="J31" s="427">
        <f t="shared" si="0"/>
        <v>52.160749649472343</v>
      </c>
      <c r="K31" s="428">
        <f t="shared" si="4"/>
        <v>860.80200100100001</v>
      </c>
      <c r="L31" s="425">
        <f t="shared" si="4"/>
        <v>365137.75700000999</v>
      </c>
      <c r="M31" s="426">
        <f>L31/12/K31</f>
        <v>35.348600934109761</v>
      </c>
      <c r="N31" s="55"/>
      <c r="O31" s="55"/>
      <c r="P31" s="55"/>
      <c r="Q31" s="55"/>
      <c r="R31" s="55"/>
      <c r="S31" s="55"/>
      <c r="T31" s="55"/>
      <c r="U31" s="55"/>
      <c r="V31" s="55"/>
      <c r="W31" s="390"/>
      <c r="X31" s="390"/>
      <c r="Y31" s="390"/>
      <c r="Z31" s="390"/>
      <c r="AA31" s="390"/>
      <c r="AB31" s="390"/>
      <c r="AC31" s="390"/>
      <c r="AD31" s="390"/>
      <c r="AE31" s="390"/>
      <c r="AF31" s="390"/>
      <c r="AG31" s="390"/>
    </row>
    <row r="32" spans="1:33" s="55" customFormat="1" ht="15" customHeight="1" x14ac:dyDescent="0.25"/>
    <row r="33" spans="1:13" s="58" customFormat="1" ht="12.75" customHeight="1" x14ac:dyDescent="0.25">
      <c r="A33" s="58" t="s">
        <v>657</v>
      </c>
    </row>
    <row r="34" spans="1:13" s="58" customFormat="1" ht="42" customHeight="1" x14ac:dyDescent="0.25">
      <c r="A34" s="1242" t="s">
        <v>1217</v>
      </c>
      <c r="B34" s="1368"/>
      <c r="C34" s="1368"/>
      <c r="D34" s="1368"/>
      <c r="E34" s="1368"/>
      <c r="F34" s="1368"/>
      <c r="G34" s="1368"/>
      <c r="H34" s="1368"/>
      <c r="I34" s="1368"/>
      <c r="J34" s="1368"/>
      <c r="K34" s="1368"/>
      <c r="L34" s="1368"/>
      <c r="M34" s="1368"/>
    </row>
    <row r="35" spans="1:13" s="58" customFormat="1" ht="15.75" customHeight="1" x14ac:dyDescent="0.25">
      <c r="A35" s="1242" t="s">
        <v>974</v>
      </c>
      <c r="B35" s="1368"/>
      <c r="C35" s="1368"/>
      <c r="D35" s="1368"/>
      <c r="E35" s="1368"/>
      <c r="F35" s="1368"/>
      <c r="G35" s="1368"/>
      <c r="H35" s="1368"/>
      <c r="I35" s="1368"/>
      <c r="J35" s="1368"/>
      <c r="K35" s="1368"/>
      <c r="L35" s="1368"/>
      <c r="M35" s="1368"/>
    </row>
    <row r="36" spans="1:13" s="58" customFormat="1" ht="43.5" customHeight="1" x14ac:dyDescent="0.25">
      <c r="A36" s="1242" t="s">
        <v>889</v>
      </c>
      <c r="B36" s="1368"/>
      <c r="C36" s="1368"/>
      <c r="D36" s="1368"/>
      <c r="E36" s="1368"/>
      <c r="F36" s="1368"/>
      <c r="G36" s="1368"/>
      <c r="H36" s="1368"/>
      <c r="I36" s="1368"/>
      <c r="J36" s="1368"/>
      <c r="K36" s="1368"/>
      <c r="L36" s="1368"/>
      <c r="M36" s="1368"/>
    </row>
    <row r="37" spans="1:13" s="58" customFormat="1" ht="105.75" customHeight="1" x14ac:dyDescent="0.25">
      <c r="A37" s="1242" t="s">
        <v>891</v>
      </c>
      <c r="B37" s="1368"/>
      <c r="C37" s="1368"/>
      <c r="D37" s="1368"/>
      <c r="E37" s="1368"/>
      <c r="F37" s="1368"/>
      <c r="G37" s="1368"/>
      <c r="H37" s="1368"/>
      <c r="I37" s="1368"/>
      <c r="J37" s="1368"/>
      <c r="K37" s="1368"/>
      <c r="L37" s="1368"/>
      <c r="M37" s="1368"/>
    </row>
    <row r="38" spans="1:13" s="58" customFormat="1" ht="15.75" customHeight="1" x14ac:dyDescent="0.25">
      <c r="A38" s="1242" t="s">
        <v>894</v>
      </c>
      <c r="B38" s="1368"/>
      <c r="C38" s="1368"/>
      <c r="D38" s="1368"/>
      <c r="E38" s="1368"/>
      <c r="F38" s="1368"/>
      <c r="G38" s="1368"/>
      <c r="H38" s="1368"/>
      <c r="I38" s="1368"/>
      <c r="J38" s="1368"/>
      <c r="K38" s="1368"/>
      <c r="L38" s="1368"/>
      <c r="M38" s="1368"/>
    </row>
    <row r="39" spans="1:13" s="58" customFormat="1" ht="29.25" customHeight="1" x14ac:dyDescent="0.25">
      <c r="A39" s="1242" t="s">
        <v>895</v>
      </c>
      <c r="B39" s="1368"/>
      <c r="C39" s="1368"/>
      <c r="D39" s="1368"/>
      <c r="E39" s="1368"/>
      <c r="F39" s="1368"/>
      <c r="G39" s="1368"/>
      <c r="H39" s="1368"/>
      <c r="I39" s="1368"/>
      <c r="J39" s="1368"/>
      <c r="K39" s="1368"/>
      <c r="L39" s="1368"/>
      <c r="M39" s="1368"/>
    </row>
    <row r="40" spans="1:13" s="58" customFormat="1" ht="12.75" customHeight="1" x14ac:dyDescent="0.25">
      <c r="A40" s="1242" t="s">
        <v>1254</v>
      </c>
      <c r="B40" s="1394"/>
      <c r="C40" s="1394"/>
      <c r="D40" s="1394"/>
      <c r="E40" s="1394"/>
      <c r="F40" s="1394"/>
      <c r="G40" s="1394"/>
      <c r="H40" s="1394"/>
      <c r="I40" s="1394"/>
      <c r="J40" s="1394"/>
      <c r="K40" s="1394"/>
      <c r="L40" s="1394"/>
      <c r="M40" s="1394"/>
    </row>
    <row r="41" spans="1:13" s="58" customFormat="1" ht="13.5" customHeight="1" x14ac:dyDescent="0.25"/>
    <row r="42" spans="1:13" s="55" customFormat="1" ht="15" customHeight="1" x14ac:dyDescent="0.25"/>
    <row r="43" spans="1:13" s="55" customFormat="1" ht="15" x14ac:dyDescent="0.25"/>
    <row r="44" spans="1:13" s="55" customFormat="1" ht="12.75" customHeight="1" x14ac:dyDescent="0.25"/>
    <row r="45" spans="1:13" s="55" customFormat="1" ht="15.75" customHeight="1" x14ac:dyDescent="0.25"/>
    <row r="46" spans="1:13" s="55" customFormat="1" ht="24.75" customHeight="1" x14ac:dyDescent="0.25"/>
    <row r="47" spans="1:13" s="55" customFormat="1" ht="24" customHeight="1" x14ac:dyDescent="0.25"/>
    <row r="48" spans="1:13" s="55" customFormat="1" ht="37.5" customHeight="1" x14ac:dyDescent="0.25"/>
    <row r="49" spans="1:24" s="55" customFormat="1" ht="15.75" customHeight="1" x14ac:dyDescent="0.25"/>
    <row r="50" spans="1:24" s="55" customFormat="1" ht="15.75" customHeight="1" x14ac:dyDescent="0.25"/>
    <row r="51" spans="1:24" s="55" customFormat="1" ht="15" customHeight="1" x14ac:dyDescent="0.25"/>
    <row r="52" spans="1:24" s="55" customFormat="1" ht="14.25" customHeight="1" x14ac:dyDescent="0.25"/>
    <row r="53" spans="1:24" s="55" customFormat="1" ht="16.5" customHeight="1" x14ac:dyDescent="0.25"/>
    <row r="54" spans="1:24" s="55" customFormat="1" ht="18.75" customHeight="1" x14ac:dyDescent="0.25"/>
    <row r="55" spans="1:24" x14ac:dyDescent="0.25">
      <c r="A55" s="41"/>
      <c r="B55" s="43"/>
      <c r="C55" s="43"/>
      <c r="D55" s="43"/>
      <c r="E55" s="43"/>
      <c r="F55" s="43"/>
      <c r="G55" s="43"/>
      <c r="H55" s="43"/>
      <c r="I55" s="25"/>
      <c r="J55" s="25"/>
      <c r="K55" s="25"/>
      <c r="L55" s="25"/>
      <c r="M55" s="25"/>
      <c r="N55" s="25"/>
      <c r="O55" s="25"/>
      <c r="P55" s="41"/>
      <c r="Q55" s="9"/>
      <c r="R55" s="9"/>
      <c r="S55" s="9"/>
      <c r="T55" s="9"/>
      <c r="U55" s="9"/>
      <c r="V55" s="9"/>
      <c r="W55" s="9"/>
      <c r="X55" s="9"/>
    </row>
    <row r="56" spans="1:24" ht="15.75" customHeight="1" x14ac:dyDescent="0.25">
      <c r="A56" s="1391"/>
      <c r="B56" s="1391"/>
      <c r="C56" s="1391"/>
      <c r="D56" s="1391"/>
      <c r="E56" s="1391"/>
      <c r="F56" s="1391"/>
      <c r="G56" s="1391"/>
      <c r="H56" s="1391"/>
      <c r="I56" s="1391"/>
      <c r="J56" s="1391"/>
      <c r="K56" s="1391"/>
      <c r="L56" s="1391"/>
      <c r="M56" s="1391"/>
      <c r="N56" s="1391"/>
      <c r="O56" s="1391"/>
      <c r="P56" s="1391"/>
      <c r="Q56" s="1391"/>
      <c r="R56" s="1391"/>
      <c r="S56" s="1391"/>
      <c r="T56" s="1391"/>
      <c r="U56" s="1391"/>
      <c r="V56" s="9"/>
      <c r="W56" s="9"/>
      <c r="X56" s="9"/>
    </row>
    <row r="57" spans="1:24" ht="15.75" x14ac:dyDescent="0.25">
      <c r="A57" s="44"/>
      <c r="B57" s="45"/>
      <c r="C57" s="45"/>
      <c r="D57" s="45"/>
      <c r="E57" s="45"/>
      <c r="F57" s="45"/>
      <c r="G57" s="45"/>
      <c r="H57" s="45"/>
      <c r="I57" s="27"/>
      <c r="J57" s="27"/>
      <c r="K57" s="27"/>
      <c r="L57" s="27"/>
      <c r="M57" s="27"/>
      <c r="N57" s="27"/>
      <c r="O57" s="27"/>
      <c r="P57" s="27"/>
    </row>
    <row r="58" spans="1:24" x14ac:dyDescent="0.25">
      <c r="A58" s="27"/>
      <c r="B58" s="45"/>
      <c r="C58" s="45"/>
      <c r="D58" s="45"/>
      <c r="E58" s="45"/>
      <c r="F58" s="45"/>
      <c r="G58" s="45"/>
      <c r="H58" s="45"/>
      <c r="I58" s="27"/>
      <c r="J58" s="27"/>
      <c r="K58" s="27"/>
      <c r="L58" s="27"/>
      <c r="M58" s="27"/>
      <c r="N58" s="27"/>
      <c r="O58" s="27"/>
      <c r="P58" s="27"/>
    </row>
    <row r="59" spans="1:24" x14ac:dyDescent="0.25">
      <c r="A59" s="46"/>
      <c r="B59" s="47"/>
      <c r="C59" s="47"/>
      <c r="D59" s="47"/>
      <c r="E59" s="47"/>
      <c r="F59" s="47"/>
      <c r="G59" s="47"/>
      <c r="H59" s="47"/>
      <c r="I59" s="46"/>
      <c r="J59" s="46"/>
      <c r="K59" s="46"/>
      <c r="L59" s="46"/>
      <c r="M59" s="46"/>
      <c r="N59" s="46"/>
      <c r="O59" s="46"/>
      <c r="P59" s="46"/>
    </row>
    <row r="60" spans="1:24" x14ac:dyDescent="0.25">
      <c r="A60" s="46"/>
      <c r="B60" s="47"/>
      <c r="C60" s="47"/>
      <c r="D60" s="47"/>
      <c r="E60" s="47"/>
      <c r="F60" s="47"/>
      <c r="G60" s="47"/>
      <c r="H60" s="47"/>
      <c r="I60" s="46"/>
      <c r="J60" s="46"/>
      <c r="K60" s="46"/>
      <c r="L60" s="46"/>
      <c r="M60" s="46"/>
      <c r="N60" s="46"/>
      <c r="O60" s="46"/>
      <c r="P60" s="46"/>
    </row>
    <row r="61" spans="1:24" x14ac:dyDescent="0.25">
      <c r="A61" s="46"/>
      <c r="B61" s="47"/>
      <c r="C61" s="47"/>
      <c r="D61" s="47"/>
      <c r="E61" s="47"/>
      <c r="F61" s="47"/>
      <c r="G61" s="47"/>
      <c r="H61" s="47"/>
      <c r="I61" s="46"/>
      <c r="J61" s="46"/>
      <c r="K61" s="46"/>
      <c r="L61" s="46"/>
      <c r="M61" s="46"/>
      <c r="N61" s="46"/>
      <c r="O61" s="46"/>
      <c r="P61" s="46"/>
    </row>
    <row r="62" spans="1:24" x14ac:dyDescent="0.25">
      <c r="A62" s="46"/>
      <c r="B62" s="47"/>
      <c r="C62" s="47"/>
      <c r="D62" s="47"/>
      <c r="E62" s="47"/>
      <c r="F62" s="47"/>
      <c r="G62" s="47"/>
      <c r="H62" s="47"/>
      <c r="I62" s="46"/>
      <c r="J62" s="46"/>
      <c r="K62" s="46"/>
      <c r="L62" s="46"/>
      <c r="M62" s="46"/>
      <c r="N62" s="46"/>
      <c r="O62" s="46"/>
      <c r="P62" s="46"/>
    </row>
    <row r="63" spans="1:24" x14ac:dyDescent="0.25">
      <c r="A63" s="46"/>
      <c r="B63" s="47"/>
      <c r="C63" s="47"/>
      <c r="D63" s="47"/>
      <c r="E63" s="47"/>
      <c r="F63" s="47"/>
      <c r="G63" s="47"/>
      <c r="H63" s="47"/>
      <c r="I63" s="46"/>
      <c r="J63" s="46"/>
      <c r="K63" s="46"/>
      <c r="L63" s="46"/>
      <c r="M63" s="46"/>
      <c r="N63" s="46"/>
      <c r="O63" s="46"/>
      <c r="P63" s="46"/>
    </row>
    <row r="64" spans="1:24" x14ac:dyDescent="0.25">
      <c r="A64" s="46"/>
      <c r="B64" s="47"/>
      <c r="C64" s="47"/>
      <c r="D64" s="47"/>
      <c r="E64" s="47"/>
      <c r="F64" s="47"/>
      <c r="G64" s="47"/>
      <c r="H64" s="47"/>
      <c r="I64" s="46"/>
      <c r="J64" s="46"/>
      <c r="K64" s="46"/>
      <c r="L64" s="46"/>
      <c r="M64" s="46"/>
      <c r="N64" s="46"/>
      <c r="O64" s="46"/>
      <c r="P64" s="46"/>
    </row>
    <row r="65" spans="1:16" x14ac:dyDescent="0.25">
      <c r="A65" s="46"/>
      <c r="B65" s="47"/>
      <c r="C65" s="47"/>
      <c r="D65" s="47"/>
      <c r="E65" s="47"/>
      <c r="F65" s="47"/>
      <c r="G65" s="47"/>
      <c r="H65" s="47"/>
      <c r="I65" s="46"/>
      <c r="J65" s="46"/>
      <c r="K65" s="46"/>
      <c r="L65" s="46"/>
      <c r="M65" s="46"/>
      <c r="N65" s="46"/>
      <c r="O65" s="46"/>
      <c r="P65" s="46"/>
    </row>
    <row r="66" spans="1:16" x14ac:dyDescent="0.25">
      <c r="A66" s="46"/>
      <c r="B66" s="47"/>
      <c r="C66" s="47"/>
      <c r="D66" s="47"/>
      <c r="E66" s="47"/>
      <c r="F66" s="47"/>
      <c r="G66" s="47"/>
      <c r="H66" s="47"/>
      <c r="I66" s="46"/>
      <c r="J66" s="46"/>
      <c r="K66" s="46"/>
      <c r="L66" s="46"/>
      <c r="M66" s="46"/>
      <c r="N66" s="46"/>
      <c r="O66" s="46"/>
      <c r="P66" s="46"/>
    </row>
    <row r="67" spans="1:16" x14ac:dyDescent="0.25">
      <c r="A67" s="46"/>
      <c r="B67" s="47"/>
      <c r="C67" s="47"/>
      <c r="D67" s="47"/>
      <c r="E67" s="47"/>
      <c r="F67" s="47"/>
      <c r="G67" s="47"/>
      <c r="H67" s="47"/>
      <c r="I67" s="46"/>
      <c r="J67" s="46"/>
      <c r="K67" s="46"/>
      <c r="L67" s="46"/>
      <c r="M67" s="46"/>
      <c r="N67" s="46"/>
      <c r="O67" s="46"/>
      <c r="P67" s="46"/>
    </row>
  </sheetData>
  <customSheetViews>
    <customSheetView guid="{2AF6EA2A-E5C5-45EB-B6C4-875AD1E4E056}" fitToPage="1">
      <pageMargins left="0.23622047244094491" right="0.27559055118110237" top="0.98425196850393704" bottom="0.98425196850393704" header="0.51181102362204722" footer="0.51181102362204722"/>
      <printOptions horizontalCentered="1"/>
      <pageSetup paperSize="9" scale="59" orientation="landscape" cellComments="asDisplayed" r:id="rId1"/>
      <headerFooter alignWithMargins="0"/>
    </customSheetView>
  </customSheetViews>
  <mergeCells count="44">
    <mergeCell ref="A56:U56"/>
    <mergeCell ref="K7:L7"/>
    <mergeCell ref="A37:M37"/>
    <mergeCell ref="B9:B11"/>
    <mergeCell ref="M7:N7"/>
    <mergeCell ref="B31:D31"/>
    <mergeCell ref="A40:M40"/>
    <mergeCell ref="Q7:R7"/>
    <mergeCell ref="A38:M38"/>
    <mergeCell ref="E18:G18"/>
    <mergeCell ref="A39:M39"/>
    <mergeCell ref="A34:M34"/>
    <mergeCell ref="B5:D8"/>
    <mergeCell ref="M6:R6"/>
    <mergeCell ref="C28:D28"/>
    <mergeCell ref="B29:D29"/>
    <mergeCell ref="A36:M36"/>
    <mergeCell ref="B18:D20"/>
    <mergeCell ref="I7:J7"/>
    <mergeCell ref="A35:M35"/>
    <mergeCell ref="B13:D13"/>
    <mergeCell ref="B30:D30"/>
    <mergeCell ref="C27:D27"/>
    <mergeCell ref="B21:B28"/>
    <mergeCell ref="C21:C26"/>
    <mergeCell ref="B14:D14"/>
    <mergeCell ref="C11:D11"/>
    <mergeCell ref="H18:J18"/>
    <mergeCell ref="U6:V7"/>
    <mergeCell ref="K18:M18"/>
    <mergeCell ref="A18:A20"/>
    <mergeCell ref="C9:D9"/>
    <mergeCell ref="E6:H6"/>
    <mergeCell ref="A5:A8"/>
    <mergeCell ref="E5:Z5"/>
    <mergeCell ref="Y6:Z7"/>
    <mergeCell ref="W6:X7"/>
    <mergeCell ref="B12:D12"/>
    <mergeCell ref="O7:P7"/>
    <mergeCell ref="S6:T7"/>
    <mergeCell ref="G7:H7"/>
    <mergeCell ref="E7:F7"/>
    <mergeCell ref="C10:D10"/>
    <mergeCell ref="I6:L6"/>
  </mergeCells>
  <phoneticPr fontId="40" type="noConversion"/>
  <printOptions horizontalCentered="1"/>
  <pageMargins left="0.23622047244094491" right="0.27559055118110237" top="0.98425196850393704" bottom="0.98425196850393704" header="0.51181102362204722" footer="0.51181102362204722"/>
  <pageSetup paperSize="9" scale="59" orientation="landscape" cellComments="asDisplayed"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zoomScaleNormal="100" workbookViewId="0"/>
  </sheetViews>
  <sheetFormatPr defaultRowHeight="12.75" x14ac:dyDescent="0.25"/>
  <cols>
    <col min="1" max="1" width="3.42578125" style="15" customWidth="1"/>
    <col min="2" max="2" width="9" style="15" customWidth="1"/>
    <col min="3" max="3" width="48" style="15" customWidth="1"/>
    <col min="4" max="4" width="12" style="15" customWidth="1"/>
    <col min="5" max="5" width="10" style="15" customWidth="1"/>
    <col min="6" max="7" width="9.140625" style="15"/>
    <col min="8" max="8" width="9.85546875" style="15" bestFit="1" customWidth="1"/>
    <col min="9" max="9" width="9.140625" style="15"/>
    <col min="10" max="10" width="10" style="15" bestFit="1" customWidth="1"/>
    <col min="11" max="12" width="10.140625" style="15" customWidth="1"/>
    <col min="13" max="13" width="10.5703125" style="15" customWidth="1"/>
    <col min="14" max="14" width="1.42578125" style="15" customWidth="1"/>
    <col min="15" max="243" width="9.140625" style="15"/>
    <col min="244" max="244" width="3.42578125" style="15" customWidth="1"/>
    <col min="245" max="245" width="9" style="15" customWidth="1"/>
    <col min="246" max="246" width="48" style="15" customWidth="1"/>
    <col min="247" max="247" width="12" style="15" customWidth="1"/>
    <col min="248" max="248" width="10" style="15" customWidth="1"/>
    <col min="249" max="250" width="9.140625" style="15"/>
    <col min="251" max="251" width="9.85546875" style="15" bestFit="1" customWidth="1"/>
    <col min="252" max="252" width="9.140625" style="15"/>
    <col min="253" max="253" width="10" style="15" bestFit="1" customWidth="1"/>
    <col min="254" max="255" width="10.140625" style="15" customWidth="1"/>
    <col min="256" max="256" width="10.5703125" style="15" customWidth="1"/>
    <col min="257" max="257" width="1.42578125" style="15" customWidth="1"/>
    <col min="258" max="258" width="10" style="15" customWidth="1"/>
    <col min="259" max="259" width="10.85546875" style="15" customWidth="1"/>
    <col min="260" max="260" width="9.140625" style="15"/>
    <col min="261" max="261" width="11.85546875" style="15" bestFit="1" customWidth="1"/>
    <col min="262" max="263" width="9.140625" style="15"/>
    <col min="264" max="264" width="10.42578125" style="15" customWidth="1"/>
    <col min="265" max="499" width="9.140625" style="15"/>
    <col min="500" max="500" width="3.42578125" style="15" customWidth="1"/>
    <col min="501" max="501" width="9" style="15" customWidth="1"/>
    <col min="502" max="502" width="48" style="15" customWidth="1"/>
    <col min="503" max="503" width="12" style="15" customWidth="1"/>
    <col min="504" max="504" width="10" style="15" customWidth="1"/>
    <col min="505" max="506" width="9.140625" style="15"/>
    <col min="507" max="507" width="9.85546875" style="15" bestFit="1" customWidth="1"/>
    <col min="508" max="508" width="9.140625" style="15"/>
    <col min="509" max="509" width="10" style="15" bestFit="1" customWidth="1"/>
    <col min="510" max="511" width="10.140625" style="15" customWidth="1"/>
    <col min="512" max="512" width="10.5703125" style="15" customWidth="1"/>
    <col min="513" max="513" width="1.42578125" style="15" customWidth="1"/>
    <col min="514" max="514" width="10" style="15" customWidth="1"/>
    <col min="515" max="515" width="10.85546875" style="15" customWidth="1"/>
    <col min="516" max="516" width="9.140625" style="15"/>
    <col min="517" max="517" width="11.85546875" style="15" bestFit="1" customWidth="1"/>
    <col min="518" max="519" width="9.140625" style="15"/>
    <col min="520" max="520" width="10.42578125" style="15" customWidth="1"/>
    <col min="521" max="755" width="9.140625" style="15"/>
    <col min="756" max="756" width="3.42578125" style="15" customWidth="1"/>
    <col min="757" max="757" width="9" style="15" customWidth="1"/>
    <col min="758" max="758" width="48" style="15" customWidth="1"/>
    <col min="759" max="759" width="12" style="15" customWidth="1"/>
    <col min="760" max="760" width="10" style="15" customWidth="1"/>
    <col min="761" max="762" width="9.140625" style="15"/>
    <col min="763" max="763" width="9.85546875" style="15" bestFit="1" customWidth="1"/>
    <col min="764" max="764" width="9.140625" style="15"/>
    <col min="765" max="765" width="10" style="15" bestFit="1" customWidth="1"/>
    <col min="766" max="767" width="10.140625" style="15" customWidth="1"/>
    <col min="768" max="768" width="10.5703125" style="15" customWidth="1"/>
    <col min="769" max="769" width="1.42578125" style="15" customWidth="1"/>
    <col min="770" max="770" width="10" style="15" customWidth="1"/>
    <col min="771" max="771" width="10.85546875" style="15" customWidth="1"/>
    <col min="772" max="772" width="9.140625" style="15"/>
    <col min="773" max="773" width="11.85546875" style="15" bestFit="1" customWidth="1"/>
    <col min="774" max="775" width="9.140625" style="15"/>
    <col min="776" max="776" width="10.42578125" style="15" customWidth="1"/>
    <col min="777" max="1011" width="9.140625" style="15"/>
    <col min="1012" max="1012" width="3.42578125" style="15" customWidth="1"/>
    <col min="1013" max="1013" width="9" style="15" customWidth="1"/>
    <col min="1014" max="1014" width="48" style="15" customWidth="1"/>
    <col min="1015" max="1015" width="12" style="15" customWidth="1"/>
    <col min="1016" max="1016" width="10" style="15" customWidth="1"/>
    <col min="1017" max="1018" width="9.140625" style="15"/>
    <col min="1019" max="1019" width="9.85546875" style="15" bestFit="1" customWidth="1"/>
    <col min="1020" max="1020" width="9.140625" style="15"/>
    <col min="1021" max="1021" width="10" style="15" bestFit="1" customWidth="1"/>
    <col min="1022" max="1023" width="10.140625" style="15" customWidth="1"/>
    <col min="1024" max="1024" width="10.5703125" style="15" customWidth="1"/>
    <col min="1025" max="1025" width="1.42578125" style="15" customWidth="1"/>
    <col min="1026" max="1026" width="10" style="15" customWidth="1"/>
    <col min="1027" max="1027" width="10.85546875" style="15" customWidth="1"/>
    <col min="1028" max="1028" width="9.140625" style="15"/>
    <col min="1029" max="1029" width="11.85546875" style="15" bestFit="1" customWidth="1"/>
    <col min="1030" max="1031" width="9.140625" style="15"/>
    <col min="1032" max="1032" width="10.42578125" style="15" customWidth="1"/>
    <col min="1033" max="1267" width="9.140625" style="15"/>
    <col min="1268" max="1268" width="3.42578125" style="15" customWidth="1"/>
    <col min="1269" max="1269" width="9" style="15" customWidth="1"/>
    <col min="1270" max="1270" width="48" style="15" customWidth="1"/>
    <col min="1271" max="1271" width="12" style="15" customWidth="1"/>
    <col min="1272" max="1272" width="10" style="15" customWidth="1"/>
    <col min="1273" max="1274" width="9.140625" style="15"/>
    <col min="1275" max="1275" width="9.85546875" style="15" bestFit="1" customWidth="1"/>
    <col min="1276" max="1276" width="9.140625" style="15"/>
    <col min="1277" max="1277" width="10" style="15" bestFit="1" customWidth="1"/>
    <col min="1278" max="1279" width="10.140625" style="15" customWidth="1"/>
    <col min="1280" max="1280" width="10.5703125" style="15" customWidth="1"/>
    <col min="1281" max="1281" width="1.42578125" style="15" customWidth="1"/>
    <col min="1282" max="1282" width="10" style="15" customWidth="1"/>
    <col min="1283" max="1283" width="10.85546875" style="15" customWidth="1"/>
    <col min="1284" max="1284" width="9.140625" style="15"/>
    <col min="1285" max="1285" width="11.85546875" style="15" bestFit="1" customWidth="1"/>
    <col min="1286" max="1287" width="9.140625" style="15"/>
    <col min="1288" max="1288" width="10.42578125" style="15" customWidth="1"/>
    <col min="1289" max="1523" width="9.140625" style="15"/>
    <col min="1524" max="1524" width="3.42578125" style="15" customWidth="1"/>
    <col min="1525" max="1525" width="9" style="15" customWidth="1"/>
    <col min="1526" max="1526" width="48" style="15" customWidth="1"/>
    <col min="1527" max="1527" width="12" style="15" customWidth="1"/>
    <col min="1528" max="1528" width="10" style="15" customWidth="1"/>
    <col min="1529" max="1530" width="9.140625" style="15"/>
    <col min="1531" max="1531" width="9.85546875" style="15" bestFit="1" customWidth="1"/>
    <col min="1532" max="1532" width="9.140625" style="15"/>
    <col min="1533" max="1533" width="10" style="15" bestFit="1" customWidth="1"/>
    <col min="1534" max="1535" width="10.140625" style="15" customWidth="1"/>
    <col min="1536" max="1536" width="10.5703125" style="15" customWidth="1"/>
    <col min="1537" max="1537" width="1.42578125" style="15" customWidth="1"/>
    <col min="1538" max="1538" width="10" style="15" customWidth="1"/>
    <col min="1539" max="1539" width="10.85546875" style="15" customWidth="1"/>
    <col min="1540" max="1540" width="9.140625" style="15"/>
    <col min="1541" max="1541" width="11.85546875" style="15" bestFit="1" customWidth="1"/>
    <col min="1542" max="1543" width="9.140625" style="15"/>
    <col min="1544" max="1544" width="10.42578125" style="15" customWidth="1"/>
    <col min="1545" max="1779" width="9.140625" style="15"/>
    <col min="1780" max="1780" width="3.42578125" style="15" customWidth="1"/>
    <col min="1781" max="1781" width="9" style="15" customWidth="1"/>
    <col min="1782" max="1782" width="48" style="15" customWidth="1"/>
    <col min="1783" max="1783" width="12" style="15" customWidth="1"/>
    <col min="1784" max="1784" width="10" style="15" customWidth="1"/>
    <col min="1785" max="1786" width="9.140625" style="15"/>
    <col min="1787" max="1787" width="9.85546875" style="15" bestFit="1" customWidth="1"/>
    <col min="1788" max="1788" width="9.140625" style="15"/>
    <col min="1789" max="1789" width="10" style="15" bestFit="1" customWidth="1"/>
    <col min="1790" max="1791" width="10.140625" style="15" customWidth="1"/>
    <col min="1792" max="1792" width="10.5703125" style="15" customWidth="1"/>
    <col min="1793" max="1793" width="1.42578125" style="15" customWidth="1"/>
    <col min="1794" max="1794" width="10" style="15" customWidth="1"/>
    <col min="1795" max="1795" width="10.85546875" style="15" customWidth="1"/>
    <col min="1796" max="1796" width="9.140625" style="15"/>
    <col min="1797" max="1797" width="11.85546875" style="15" bestFit="1" customWidth="1"/>
    <col min="1798" max="1799" width="9.140625" style="15"/>
    <col min="1800" max="1800" width="10.42578125" style="15" customWidth="1"/>
    <col min="1801" max="2035" width="9.140625" style="15"/>
    <col min="2036" max="2036" width="3.42578125" style="15" customWidth="1"/>
    <col min="2037" max="2037" width="9" style="15" customWidth="1"/>
    <col min="2038" max="2038" width="48" style="15" customWidth="1"/>
    <col min="2039" max="2039" width="12" style="15" customWidth="1"/>
    <col min="2040" max="2040" width="10" style="15" customWidth="1"/>
    <col min="2041" max="2042" width="9.140625" style="15"/>
    <col min="2043" max="2043" width="9.85546875" style="15" bestFit="1" customWidth="1"/>
    <col min="2044" max="2044" width="9.140625" style="15"/>
    <col min="2045" max="2045" width="10" style="15" bestFit="1" customWidth="1"/>
    <col min="2046" max="2047" width="10.140625" style="15" customWidth="1"/>
    <col min="2048" max="2048" width="10.5703125" style="15" customWidth="1"/>
    <col min="2049" max="2049" width="1.42578125" style="15" customWidth="1"/>
    <col min="2050" max="2050" width="10" style="15" customWidth="1"/>
    <col min="2051" max="2051" width="10.85546875" style="15" customWidth="1"/>
    <col min="2052" max="2052" width="9.140625" style="15"/>
    <col min="2053" max="2053" width="11.85546875" style="15" bestFit="1" customWidth="1"/>
    <col min="2054" max="2055" width="9.140625" style="15"/>
    <col min="2056" max="2056" width="10.42578125" style="15" customWidth="1"/>
    <col min="2057" max="2291" width="9.140625" style="15"/>
    <col min="2292" max="2292" width="3.42578125" style="15" customWidth="1"/>
    <col min="2293" max="2293" width="9" style="15" customWidth="1"/>
    <col min="2294" max="2294" width="48" style="15" customWidth="1"/>
    <col min="2295" max="2295" width="12" style="15" customWidth="1"/>
    <col min="2296" max="2296" width="10" style="15" customWidth="1"/>
    <col min="2297" max="2298" width="9.140625" style="15"/>
    <col min="2299" max="2299" width="9.85546875" style="15" bestFit="1" customWidth="1"/>
    <col min="2300" max="2300" width="9.140625" style="15"/>
    <col min="2301" max="2301" width="10" style="15" bestFit="1" customWidth="1"/>
    <col min="2302" max="2303" width="10.140625" style="15" customWidth="1"/>
    <col min="2304" max="2304" width="10.5703125" style="15" customWidth="1"/>
    <col min="2305" max="2305" width="1.42578125" style="15" customWidth="1"/>
    <col min="2306" max="2306" width="10" style="15" customWidth="1"/>
    <col min="2307" max="2307" width="10.85546875" style="15" customWidth="1"/>
    <col min="2308" max="2308" width="9.140625" style="15"/>
    <col min="2309" max="2309" width="11.85546875" style="15" bestFit="1" customWidth="1"/>
    <col min="2310" max="2311" width="9.140625" style="15"/>
    <col min="2312" max="2312" width="10.42578125" style="15" customWidth="1"/>
    <col min="2313" max="2547" width="9.140625" style="15"/>
    <col min="2548" max="2548" width="3.42578125" style="15" customWidth="1"/>
    <col min="2549" max="2549" width="9" style="15" customWidth="1"/>
    <col min="2550" max="2550" width="48" style="15" customWidth="1"/>
    <col min="2551" max="2551" width="12" style="15" customWidth="1"/>
    <col min="2552" max="2552" width="10" style="15" customWidth="1"/>
    <col min="2553" max="2554" width="9.140625" style="15"/>
    <col min="2555" max="2555" width="9.85546875" style="15" bestFit="1" customWidth="1"/>
    <col min="2556" max="2556" width="9.140625" style="15"/>
    <col min="2557" max="2557" width="10" style="15" bestFit="1" customWidth="1"/>
    <col min="2558" max="2559" width="10.140625" style="15" customWidth="1"/>
    <col min="2560" max="2560" width="10.5703125" style="15" customWidth="1"/>
    <col min="2561" max="2561" width="1.42578125" style="15" customWidth="1"/>
    <col min="2562" max="2562" width="10" style="15" customWidth="1"/>
    <col min="2563" max="2563" width="10.85546875" style="15" customWidth="1"/>
    <col min="2564" max="2564" width="9.140625" style="15"/>
    <col min="2565" max="2565" width="11.85546875" style="15" bestFit="1" customWidth="1"/>
    <col min="2566" max="2567" width="9.140625" style="15"/>
    <col min="2568" max="2568" width="10.42578125" style="15" customWidth="1"/>
    <col min="2569" max="2803" width="9.140625" style="15"/>
    <col min="2804" max="2804" width="3.42578125" style="15" customWidth="1"/>
    <col min="2805" max="2805" width="9" style="15" customWidth="1"/>
    <col min="2806" max="2806" width="48" style="15" customWidth="1"/>
    <col min="2807" max="2807" width="12" style="15" customWidth="1"/>
    <col min="2808" max="2808" width="10" style="15" customWidth="1"/>
    <col min="2809" max="2810" width="9.140625" style="15"/>
    <col min="2811" max="2811" width="9.85546875" style="15" bestFit="1" customWidth="1"/>
    <col min="2812" max="2812" width="9.140625" style="15"/>
    <col min="2813" max="2813" width="10" style="15" bestFit="1" customWidth="1"/>
    <col min="2814" max="2815" width="10.140625" style="15" customWidth="1"/>
    <col min="2816" max="2816" width="10.5703125" style="15" customWidth="1"/>
    <col min="2817" max="2817" width="1.42578125" style="15" customWidth="1"/>
    <col min="2818" max="2818" width="10" style="15" customWidth="1"/>
    <col min="2819" max="2819" width="10.85546875" style="15" customWidth="1"/>
    <col min="2820" max="2820" width="9.140625" style="15"/>
    <col min="2821" max="2821" width="11.85546875" style="15" bestFit="1" customWidth="1"/>
    <col min="2822" max="2823" width="9.140625" style="15"/>
    <col min="2824" max="2824" width="10.42578125" style="15" customWidth="1"/>
    <col min="2825" max="3059" width="9.140625" style="15"/>
    <col min="3060" max="3060" width="3.42578125" style="15" customWidth="1"/>
    <col min="3061" max="3061" width="9" style="15" customWidth="1"/>
    <col min="3062" max="3062" width="48" style="15" customWidth="1"/>
    <col min="3063" max="3063" width="12" style="15" customWidth="1"/>
    <col min="3064" max="3064" width="10" style="15" customWidth="1"/>
    <col min="3065" max="3066" width="9.140625" style="15"/>
    <col min="3067" max="3067" width="9.85546875" style="15" bestFit="1" customWidth="1"/>
    <col min="3068" max="3068" width="9.140625" style="15"/>
    <col min="3069" max="3069" width="10" style="15" bestFit="1" customWidth="1"/>
    <col min="3070" max="3071" width="10.140625" style="15" customWidth="1"/>
    <col min="3072" max="3072" width="10.5703125" style="15" customWidth="1"/>
    <col min="3073" max="3073" width="1.42578125" style="15" customWidth="1"/>
    <col min="3074" max="3074" width="10" style="15" customWidth="1"/>
    <col min="3075" max="3075" width="10.85546875" style="15" customWidth="1"/>
    <col min="3076" max="3076" width="9.140625" style="15"/>
    <col min="3077" max="3077" width="11.85546875" style="15" bestFit="1" customWidth="1"/>
    <col min="3078" max="3079" width="9.140625" style="15"/>
    <col min="3080" max="3080" width="10.42578125" style="15" customWidth="1"/>
    <col min="3081" max="3315" width="9.140625" style="15"/>
    <col min="3316" max="3316" width="3.42578125" style="15" customWidth="1"/>
    <col min="3317" max="3317" width="9" style="15" customWidth="1"/>
    <col min="3318" max="3318" width="48" style="15" customWidth="1"/>
    <col min="3319" max="3319" width="12" style="15" customWidth="1"/>
    <col min="3320" max="3320" width="10" style="15" customWidth="1"/>
    <col min="3321" max="3322" width="9.140625" style="15"/>
    <col min="3323" max="3323" width="9.85546875" style="15" bestFit="1" customWidth="1"/>
    <col min="3324" max="3324" width="9.140625" style="15"/>
    <col min="3325" max="3325" width="10" style="15" bestFit="1" customWidth="1"/>
    <col min="3326" max="3327" width="10.140625" style="15" customWidth="1"/>
    <col min="3328" max="3328" width="10.5703125" style="15" customWidth="1"/>
    <col min="3329" max="3329" width="1.42578125" style="15" customWidth="1"/>
    <col min="3330" max="3330" width="10" style="15" customWidth="1"/>
    <col min="3331" max="3331" width="10.85546875" style="15" customWidth="1"/>
    <col min="3332" max="3332" width="9.140625" style="15"/>
    <col min="3333" max="3333" width="11.85546875" style="15" bestFit="1" customWidth="1"/>
    <col min="3334" max="3335" width="9.140625" style="15"/>
    <col min="3336" max="3336" width="10.42578125" style="15" customWidth="1"/>
    <col min="3337" max="3571" width="9.140625" style="15"/>
    <col min="3572" max="3572" width="3.42578125" style="15" customWidth="1"/>
    <col min="3573" max="3573" width="9" style="15" customWidth="1"/>
    <col min="3574" max="3574" width="48" style="15" customWidth="1"/>
    <col min="3575" max="3575" width="12" style="15" customWidth="1"/>
    <col min="3576" max="3576" width="10" style="15" customWidth="1"/>
    <col min="3577" max="3578" width="9.140625" style="15"/>
    <col min="3579" max="3579" width="9.85546875" style="15" bestFit="1" customWidth="1"/>
    <col min="3580" max="3580" width="9.140625" style="15"/>
    <col min="3581" max="3581" width="10" style="15" bestFit="1" customWidth="1"/>
    <col min="3582" max="3583" width="10.140625" style="15" customWidth="1"/>
    <col min="3584" max="3584" width="10.5703125" style="15" customWidth="1"/>
    <col min="3585" max="3585" width="1.42578125" style="15" customWidth="1"/>
    <col min="3586" max="3586" width="10" style="15" customWidth="1"/>
    <col min="3587" max="3587" width="10.85546875" style="15" customWidth="1"/>
    <col min="3588" max="3588" width="9.140625" style="15"/>
    <col min="3589" max="3589" width="11.85546875" style="15" bestFit="1" customWidth="1"/>
    <col min="3590" max="3591" width="9.140625" style="15"/>
    <col min="3592" max="3592" width="10.42578125" style="15" customWidth="1"/>
    <col min="3593" max="3827" width="9.140625" style="15"/>
    <col min="3828" max="3828" width="3.42578125" style="15" customWidth="1"/>
    <col min="3829" max="3829" width="9" style="15" customWidth="1"/>
    <col min="3830" max="3830" width="48" style="15" customWidth="1"/>
    <col min="3831" max="3831" width="12" style="15" customWidth="1"/>
    <col min="3832" max="3832" width="10" style="15" customWidth="1"/>
    <col min="3833" max="3834" width="9.140625" style="15"/>
    <col min="3835" max="3835" width="9.85546875" style="15" bestFit="1" customWidth="1"/>
    <col min="3836" max="3836" width="9.140625" style="15"/>
    <col min="3837" max="3837" width="10" style="15" bestFit="1" customWidth="1"/>
    <col min="3838" max="3839" width="10.140625" style="15" customWidth="1"/>
    <col min="3840" max="3840" width="10.5703125" style="15" customWidth="1"/>
    <col min="3841" max="3841" width="1.42578125" style="15" customWidth="1"/>
    <col min="3842" max="3842" width="10" style="15" customWidth="1"/>
    <col min="3843" max="3843" width="10.85546875" style="15" customWidth="1"/>
    <col min="3844" max="3844" width="9.140625" style="15"/>
    <col min="3845" max="3845" width="11.85546875" style="15" bestFit="1" customWidth="1"/>
    <col min="3846" max="3847" width="9.140625" style="15"/>
    <col min="3848" max="3848" width="10.42578125" style="15" customWidth="1"/>
    <col min="3849" max="4083" width="9.140625" style="15"/>
    <col min="4084" max="4084" width="3.42578125" style="15" customWidth="1"/>
    <col min="4085" max="4085" width="9" style="15" customWidth="1"/>
    <col min="4086" max="4086" width="48" style="15" customWidth="1"/>
    <col min="4087" max="4087" width="12" style="15" customWidth="1"/>
    <col min="4088" max="4088" width="10" style="15" customWidth="1"/>
    <col min="4089" max="4090" width="9.140625" style="15"/>
    <col min="4091" max="4091" width="9.85546875" style="15" bestFit="1" customWidth="1"/>
    <col min="4092" max="4092" width="9.140625" style="15"/>
    <col min="4093" max="4093" width="10" style="15" bestFit="1" customWidth="1"/>
    <col min="4094" max="4095" width="10.140625" style="15" customWidth="1"/>
    <col min="4096" max="4096" width="10.5703125" style="15" customWidth="1"/>
    <col min="4097" max="4097" width="1.42578125" style="15" customWidth="1"/>
    <col min="4098" max="4098" width="10" style="15" customWidth="1"/>
    <col min="4099" max="4099" width="10.85546875" style="15" customWidth="1"/>
    <col min="4100" max="4100" width="9.140625" style="15"/>
    <col min="4101" max="4101" width="11.85546875" style="15" bestFit="1" customWidth="1"/>
    <col min="4102" max="4103" width="9.140625" style="15"/>
    <col min="4104" max="4104" width="10.42578125" style="15" customWidth="1"/>
    <col min="4105" max="4339" width="9.140625" style="15"/>
    <col min="4340" max="4340" width="3.42578125" style="15" customWidth="1"/>
    <col min="4341" max="4341" width="9" style="15" customWidth="1"/>
    <col min="4342" max="4342" width="48" style="15" customWidth="1"/>
    <col min="4343" max="4343" width="12" style="15" customWidth="1"/>
    <col min="4344" max="4344" width="10" style="15" customWidth="1"/>
    <col min="4345" max="4346" width="9.140625" style="15"/>
    <col min="4347" max="4347" width="9.85546875" style="15" bestFit="1" customWidth="1"/>
    <col min="4348" max="4348" width="9.140625" style="15"/>
    <col min="4349" max="4349" width="10" style="15" bestFit="1" customWidth="1"/>
    <col min="4350" max="4351" width="10.140625" style="15" customWidth="1"/>
    <col min="4352" max="4352" width="10.5703125" style="15" customWidth="1"/>
    <col min="4353" max="4353" width="1.42578125" style="15" customWidth="1"/>
    <col min="4354" max="4354" width="10" style="15" customWidth="1"/>
    <col min="4355" max="4355" width="10.85546875" style="15" customWidth="1"/>
    <col min="4356" max="4356" width="9.140625" style="15"/>
    <col min="4357" max="4357" width="11.85546875" style="15" bestFit="1" customWidth="1"/>
    <col min="4358" max="4359" width="9.140625" style="15"/>
    <col min="4360" max="4360" width="10.42578125" style="15" customWidth="1"/>
    <col min="4361" max="4595" width="9.140625" style="15"/>
    <col min="4596" max="4596" width="3.42578125" style="15" customWidth="1"/>
    <col min="4597" max="4597" width="9" style="15" customWidth="1"/>
    <col min="4598" max="4598" width="48" style="15" customWidth="1"/>
    <col min="4599" max="4599" width="12" style="15" customWidth="1"/>
    <col min="4600" max="4600" width="10" style="15" customWidth="1"/>
    <col min="4601" max="4602" width="9.140625" style="15"/>
    <col min="4603" max="4603" width="9.85546875" style="15" bestFit="1" customWidth="1"/>
    <col min="4604" max="4604" width="9.140625" style="15"/>
    <col min="4605" max="4605" width="10" style="15" bestFit="1" customWidth="1"/>
    <col min="4606" max="4607" width="10.140625" style="15" customWidth="1"/>
    <col min="4608" max="4608" width="10.5703125" style="15" customWidth="1"/>
    <col min="4609" max="4609" width="1.42578125" style="15" customWidth="1"/>
    <col min="4610" max="4610" width="10" style="15" customWidth="1"/>
    <col min="4611" max="4611" width="10.85546875" style="15" customWidth="1"/>
    <col min="4612" max="4612" width="9.140625" style="15"/>
    <col min="4613" max="4613" width="11.85546875" style="15" bestFit="1" customWidth="1"/>
    <col min="4614" max="4615" width="9.140625" style="15"/>
    <col min="4616" max="4616" width="10.42578125" style="15" customWidth="1"/>
    <col min="4617" max="4851" width="9.140625" style="15"/>
    <col min="4852" max="4852" width="3.42578125" style="15" customWidth="1"/>
    <col min="4853" max="4853" width="9" style="15" customWidth="1"/>
    <col min="4854" max="4854" width="48" style="15" customWidth="1"/>
    <col min="4855" max="4855" width="12" style="15" customWidth="1"/>
    <col min="4856" max="4856" width="10" style="15" customWidth="1"/>
    <col min="4857" max="4858" width="9.140625" style="15"/>
    <col min="4859" max="4859" width="9.85546875" style="15" bestFit="1" customWidth="1"/>
    <col min="4860" max="4860" width="9.140625" style="15"/>
    <col min="4861" max="4861" width="10" style="15" bestFit="1" customWidth="1"/>
    <col min="4862" max="4863" width="10.140625" style="15" customWidth="1"/>
    <col min="4864" max="4864" width="10.5703125" style="15" customWidth="1"/>
    <col min="4865" max="4865" width="1.42578125" style="15" customWidth="1"/>
    <col min="4866" max="4866" width="10" style="15" customWidth="1"/>
    <col min="4867" max="4867" width="10.85546875" style="15" customWidth="1"/>
    <col min="4868" max="4868" width="9.140625" style="15"/>
    <col min="4869" max="4869" width="11.85546875" style="15" bestFit="1" customWidth="1"/>
    <col min="4870" max="4871" width="9.140625" style="15"/>
    <col min="4872" max="4872" width="10.42578125" style="15" customWidth="1"/>
    <col min="4873" max="5107" width="9.140625" style="15"/>
    <col min="5108" max="5108" width="3.42578125" style="15" customWidth="1"/>
    <col min="5109" max="5109" width="9" style="15" customWidth="1"/>
    <col min="5110" max="5110" width="48" style="15" customWidth="1"/>
    <col min="5111" max="5111" width="12" style="15" customWidth="1"/>
    <col min="5112" max="5112" width="10" style="15" customWidth="1"/>
    <col min="5113" max="5114" width="9.140625" style="15"/>
    <col min="5115" max="5115" width="9.85546875" style="15" bestFit="1" customWidth="1"/>
    <col min="5116" max="5116" width="9.140625" style="15"/>
    <col min="5117" max="5117" width="10" style="15" bestFit="1" customWidth="1"/>
    <col min="5118" max="5119" width="10.140625" style="15" customWidth="1"/>
    <col min="5120" max="5120" width="10.5703125" style="15" customWidth="1"/>
    <col min="5121" max="5121" width="1.42578125" style="15" customWidth="1"/>
    <col min="5122" max="5122" width="10" style="15" customWidth="1"/>
    <col min="5123" max="5123" width="10.85546875" style="15" customWidth="1"/>
    <col min="5124" max="5124" width="9.140625" style="15"/>
    <col min="5125" max="5125" width="11.85546875" style="15" bestFit="1" customWidth="1"/>
    <col min="5126" max="5127" width="9.140625" style="15"/>
    <col min="5128" max="5128" width="10.42578125" style="15" customWidth="1"/>
    <col min="5129" max="5363" width="9.140625" style="15"/>
    <col min="5364" max="5364" width="3.42578125" style="15" customWidth="1"/>
    <col min="5365" max="5365" width="9" style="15" customWidth="1"/>
    <col min="5366" max="5366" width="48" style="15" customWidth="1"/>
    <col min="5367" max="5367" width="12" style="15" customWidth="1"/>
    <col min="5368" max="5368" width="10" style="15" customWidth="1"/>
    <col min="5369" max="5370" width="9.140625" style="15"/>
    <col min="5371" max="5371" width="9.85546875" style="15" bestFit="1" customWidth="1"/>
    <col min="5372" max="5372" width="9.140625" style="15"/>
    <col min="5373" max="5373" width="10" style="15" bestFit="1" customWidth="1"/>
    <col min="5374" max="5375" width="10.140625" style="15" customWidth="1"/>
    <col min="5376" max="5376" width="10.5703125" style="15" customWidth="1"/>
    <col min="5377" max="5377" width="1.42578125" style="15" customWidth="1"/>
    <col min="5378" max="5378" width="10" style="15" customWidth="1"/>
    <col min="5379" max="5379" width="10.85546875" style="15" customWidth="1"/>
    <col min="5380" max="5380" width="9.140625" style="15"/>
    <col min="5381" max="5381" width="11.85546875" style="15" bestFit="1" customWidth="1"/>
    <col min="5382" max="5383" width="9.140625" style="15"/>
    <col min="5384" max="5384" width="10.42578125" style="15" customWidth="1"/>
    <col min="5385" max="5619" width="9.140625" style="15"/>
    <col min="5620" max="5620" width="3.42578125" style="15" customWidth="1"/>
    <col min="5621" max="5621" width="9" style="15" customWidth="1"/>
    <col min="5622" max="5622" width="48" style="15" customWidth="1"/>
    <col min="5623" max="5623" width="12" style="15" customWidth="1"/>
    <col min="5624" max="5624" width="10" style="15" customWidth="1"/>
    <col min="5625" max="5626" width="9.140625" style="15"/>
    <col min="5627" max="5627" width="9.85546875" style="15" bestFit="1" customWidth="1"/>
    <col min="5628" max="5628" width="9.140625" style="15"/>
    <col min="5629" max="5629" width="10" style="15" bestFit="1" customWidth="1"/>
    <col min="5630" max="5631" width="10.140625" style="15" customWidth="1"/>
    <col min="5632" max="5632" width="10.5703125" style="15" customWidth="1"/>
    <col min="5633" max="5633" width="1.42578125" style="15" customWidth="1"/>
    <col min="5634" max="5634" width="10" style="15" customWidth="1"/>
    <col min="5635" max="5635" width="10.85546875" style="15" customWidth="1"/>
    <col min="5636" max="5636" width="9.140625" style="15"/>
    <col min="5637" max="5637" width="11.85546875" style="15" bestFit="1" customWidth="1"/>
    <col min="5638" max="5639" width="9.140625" style="15"/>
    <col min="5640" max="5640" width="10.42578125" style="15" customWidth="1"/>
    <col min="5641" max="5875" width="9.140625" style="15"/>
    <col min="5876" max="5876" width="3.42578125" style="15" customWidth="1"/>
    <col min="5877" max="5877" width="9" style="15" customWidth="1"/>
    <col min="5878" max="5878" width="48" style="15" customWidth="1"/>
    <col min="5879" max="5879" width="12" style="15" customWidth="1"/>
    <col min="5880" max="5880" width="10" style="15" customWidth="1"/>
    <col min="5881" max="5882" width="9.140625" style="15"/>
    <col min="5883" max="5883" width="9.85546875" style="15" bestFit="1" customWidth="1"/>
    <col min="5884" max="5884" width="9.140625" style="15"/>
    <col min="5885" max="5885" width="10" style="15" bestFit="1" customWidth="1"/>
    <col min="5886" max="5887" width="10.140625" style="15" customWidth="1"/>
    <col min="5888" max="5888" width="10.5703125" style="15" customWidth="1"/>
    <col min="5889" max="5889" width="1.42578125" style="15" customWidth="1"/>
    <col min="5890" max="5890" width="10" style="15" customWidth="1"/>
    <col min="5891" max="5891" width="10.85546875" style="15" customWidth="1"/>
    <col min="5892" max="5892" width="9.140625" style="15"/>
    <col min="5893" max="5893" width="11.85546875" style="15" bestFit="1" customWidth="1"/>
    <col min="5894" max="5895" width="9.140625" style="15"/>
    <col min="5896" max="5896" width="10.42578125" style="15" customWidth="1"/>
    <col min="5897" max="6131" width="9.140625" style="15"/>
    <col min="6132" max="6132" width="3.42578125" style="15" customWidth="1"/>
    <col min="6133" max="6133" width="9" style="15" customWidth="1"/>
    <col min="6134" max="6134" width="48" style="15" customWidth="1"/>
    <col min="6135" max="6135" width="12" style="15" customWidth="1"/>
    <col min="6136" max="6136" width="10" style="15" customWidth="1"/>
    <col min="6137" max="6138" width="9.140625" style="15"/>
    <col min="6139" max="6139" width="9.85546875" style="15" bestFit="1" customWidth="1"/>
    <col min="6140" max="6140" width="9.140625" style="15"/>
    <col min="6141" max="6141" width="10" style="15" bestFit="1" customWidth="1"/>
    <col min="6142" max="6143" width="10.140625" style="15" customWidth="1"/>
    <col min="6144" max="6144" width="10.5703125" style="15" customWidth="1"/>
    <col min="6145" max="6145" width="1.42578125" style="15" customWidth="1"/>
    <col min="6146" max="6146" width="10" style="15" customWidth="1"/>
    <col min="6147" max="6147" width="10.85546875" style="15" customWidth="1"/>
    <col min="6148" max="6148" width="9.140625" style="15"/>
    <col min="6149" max="6149" width="11.85546875" style="15" bestFit="1" customWidth="1"/>
    <col min="6150" max="6151" width="9.140625" style="15"/>
    <col min="6152" max="6152" width="10.42578125" style="15" customWidth="1"/>
    <col min="6153" max="6387" width="9.140625" style="15"/>
    <col min="6388" max="6388" width="3.42578125" style="15" customWidth="1"/>
    <col min="6389" max="6389" width="9" style="15" customWidth="1"/>
    <col min="6390" max="6390" width="48" style="15" customWidth="1"/>
    <col min="6391" max="6391" width="12" style="15" customWidth="1"/>
    <col min="6392" max="6392" width="10" style="15" customWidth="1"/>
    <col min="6393" max="6394" width="9.140625" style="15"/>
    <col min="6395" max="6395" width="9.85546875" style="15" bestFit="1" customWidth="1"/>
    <col min="6396" max="6396" width="9.140625" style="15"/>
    <col min="6397" max="6397" width="10" style="15" bestFit="1" customWidth="1"/>
    <col min="6398" max="6399" width="10.140625" style="15" customWidth="1"/>
    <col min="6400" max="6400" width="10.5703125" style="15" customWidth="1"/>
    <col min="6401" max="6401" width="1.42578125" style="15" customWidth="1"/>
    <col min="6402" max="6402" width="10" style="15" customWidth="1"/>
    <col min="6403" max="6403" width="10.85546875" style="15" customWidth="1"/>
    <col min="6404" max="6404" width="9.140625" style="15"/>
    <col min="6405" max="6405" width="11.85546875" style="15" bestFit="1" customWidth="1"/>
    <col min="6406" max="6407" width="9.140625" style="15"/>
    <col min="6408" max="6408" width="10.42578125" style="15" customWidth="1"/>
    <col min="6409" max="6643" width="9.140625" style="15"/>
    <col min="6644" max="6644" width="3.42578125" style="15" customWidth="1"/>
    <col min="6645" max="6645" width="9" style="15" customWidth="1"/>
    <col min="6646" max="6646" width="48" style="15" customWidth="1"/>
    <col min="6647" max="6647" width="12" style="15" customWidth="1"/>
    <col min="6648" max="6648" width="10" style="15" customWidth="1"/>
    <col min="6649" max="6650" width="9.140625" style="15"/>
    <col min="6651" max="6651" width="9.85546875" style="15" bestFit="1" customWidth="1"/>
    <col min="6652" max="6652" width="9.140625" style="15"/>
    <col min="6653" max="6653" width="10" style="15" bestFit="1" customWidth="1"/>
    <col min="6654" max="6655" width="10.140625" style="15" customWidth="1"/>
    <col min="6656" max="6656" width="10.5703125" style="15" customWidth="1"/>
    <col min="6657" max="6657" width="1.42578125" style="15" customWidth="1"/>
    <col min="6658" max="6658" width="10" style="15" customWidth="1"/>
    <col min="6659" max="6659" width="10.85546875" style="15" customWidth="1"/>
    <col min="6660" max="6660" width="9.140625" style="15"/>
    <col min="6661" max="6661" width="11.85546875" style="15" bestFit="1" customWidth="1"/>
    <col min="6662" max="6663" width="9.140625" style="15"/>
    <col min="6664" max="6664" width="10.42578125" style="15" customWidth="1"/>
    <col min="6665" max="6899" width="9.140625" style="15"/>
    <col min="6900" max="6900" width="3.42578125" style="15" customWidth="1"/>
    <col min="6901" max="6901" width="9" style="15" customWidth="1"/>
    <col min="6902" max="6902" width="48" style="15" customWidth="1"/>
    <col min="6903" max="6903" width="12" style="15" customWidth="1"/>
    <col min="6904" max="6904" width="10" style="15" customWidth="1"/>
    <col min="6905" max="6906" width="9.140625" style="15"/>
    <col min="6907" max="6907" width="9.85546875" style="15" bestFit="1" customWidth="1"/>
    <col min="6908" max="6908" width="9.140625" style="15"/>
    <col min="6909" max="6909" width="10" style="15" bestFit="1" customWidth="1"/>
    <col min="6910" max="6911" width="10.140625" style="15" customWidth="1"/>
    <col min="6912" max="6912" width="10.5703125" style="15" customWidth="1"/>
    <col min="6913" max="6913" width="1.42578125" style="15" customWidth="1"/>
    <col min="6914" max="6914" width="10" style="15" customWidth="1"/>
    <col min="6915" max="6915" width="10.85546875" style="15" customWidth="1"/>
    <col min="6916" max="6916" width="9.140625" style="15"/>
    <col min="6917" max="6917" width="11.85546875" style="15" bestFit="1" customWidth="1"/>
    <col min="6918" max="6919" width="9.140625" style="15"/>
    <col min="6920" max="6920" width="10.42578125" style="15" customWidth="1"/>
    <col min="6921" max="7155" width="9.140625" style="15"/>
    <col min="7156" max="7156" width="3.42578125" style="15" customWidth="1"/>
    <col min="7157" max="7157" width="9" style="15" customWidth="1"/>
    <col min="7158" max="7158" width="48" style="15" customWidth="1"/>
    <col min="7159" max="7159" width="12" style="15" customWidth="1"/>
    <col min="7160" max="7160" width="10" style="15" customWidth="1"/>
    <col min="7161" max="7162" width="9.140625" style="15"/>
    <col min="7163" max="7163" width="9.85546875" style="15" bestFit="1" customWidth="1"/>
    <col min="7164" max="7164" width="9.140625" style="15"/>
    <col min="7165" max="7165" width="10" style="15" bestFit="1" customWidth="1"/>
    <col min="7166" max="7167" width="10.140625" style="15" customWidth="1"/>
    <col min="7168" max="7168" width="10.5703125" style="15" customWidth="1"/>
    <col min="7169" max="7169" width="1.42578125" style="15" customWidth="1"/>
    <col min="7170" max="7170" width="10" style="15" customWidth="1"/>
    <col min="7171" max="7171" width="10.85546875" style="15" customWidth="1"/>
    <col min="7172" max="7172" width="9.140625" style="15"/>
    <col min="7173" max="7173" width="11.85546875" style="15" bestFit="1" customWidth="1"/>
    <col min="7174" max="7175" width="9.140625" style="15"/>
    <col min="7176" max="7176" width="10.42578125" style="15" customWidth="1"/>
    <col min="7177" max="7411" width="9.140625" style="15"/>
    <col min="7412" max="7412" width="3.42578125" style="15" customWidth="1"/>
    <col min="7413" max="7413" width="9" style="15" customWidth="1"/>
    <col min="7414" max="7414" width="48" style="15" customWidth="1"/>
    <col min="7415" max="7415" width="12" style="15" customWidth="1"/>
    <col min="7416" max="7416" width="10" style="15" customWidth="1"/>
    <col min="7417" max="7418" width="9.140625" style="15"/>
    <col min="7419" max="7419" width="9.85546875" style="15" bestFit="1" customWidth="1"/>
    <col min="7420" max="7420" width="9.140625" style="15"/>
    <col min="7421" max="7421" width="10" style="15" bestFit="1" customWidth="1"/>
    <col min="7422" max="7423" width="10.140625" style="15" customWidth="1"/>
    <col min="7424" max="7424" width="10.5703125" style="15" customWidth="1"/>
    <col min="7425" max="7425" width="1.42578125" style="15" customWidth="1"/>
    <col min="7426" max="7426" width="10" style="15" customWidth="1"/>
    <col min="7427" max="7427" width="10.85546875" style="15" customWidth="1"/>
    <col min="7428" max="7428" width="9.140625" style="15"/>
    <col min="7429" max="7429" width="11.85546875" style="15" bestFit="1" customWidth="1"/>
    <col min="7430" max="7431" width="9.140625" style="15"/>
    <col min="7432" max="7432" width="10.42578125" style="15" customWidth="1"/>
    <col min="7433" max="7667" width="9.140625" style="15"/>
    <col min="7668" max="7668" width="3.42578125" style="15" customWidth="1"/>
    <col min="7669" max="7669" width="9" style="15" customWidth="1"/>
    <col min="7670" max="7670" width="48" style="15" customWidth="1"/>
    <col min="7671" max="7671" width="12" style="15" customWidth="1"/>
    <col min="7672" max="7672" width="10" style="15" customWidth="1"/>
    <col min="7673" max="7674" width="9.140625" style="15"/>
    <col min="7675" max="7675" width="9.85546875" style="15" bestFit="1" customWidth="1"/>
    <col min="7676" max="7676" width="9.140625" style="15"/>
    <col min="7677" max="7677" width="10" style="15" bestFit="1" customWidth="1"/>
    <col min="7678" max="7679" width="10.140625" style="15" customWidth="1"/>
    <col min="7680" max="7680" width="10.5703125" style="15" customWidth="1"/>
    <col min="7681" max="7681" width="1.42578125" style="15" customWidth="1"/>
    <col min="7682" max="7682" width="10" style="15" customWidth="1"/>
    <col min="7683" max="7683" width="10.85546875" style="15" customWidth="1"/>
    <col min="7684" max="7684" width="9.140625" style="15"/>
    <col min="7685" max="7685" width="11.85546875" style="15" bestFit="1" customWidth="1"/>
    <col min="7686" max="7687" width="9.140625" style="15"/>
    <col min="7688" max="7688" width="10.42578125" style="15" customWidth="1"/>
    <col min="7689" max="7923" width="9.140625" style="15"/>
    <col min="7924" max="7924" width="3.42578125" style="15" customWidth="1"/>
    <col min="7925" max="7925" width="9" style="15" customWidth="1"/>
    <col min="7926" max="7926" width="48" style="15" customWidth="1"/>
    <col min="7927" max="7927" width="12" style="15" customWidth="1"/>
    <col min="7928" max="7928" width="10" style="15" customWidth="1"/>
    <col min="7929" max="7930" width="9.140625" style="15"/>
    <col min="7931" max="7931" width="9.85546875" style="15" bestFit="1" customWidth="1"/>
    <col min="7932" max="7932" width="9.140625" style="15"/>
    <col min="7933" max="7933" width="10" style="15" bestFit="1" customWidth="1"/>
    <col min="7934" max="7935" width="10.140625" style="15" customWidth="1"/>
    <col min="7936" max="7936" width="10.5703125" style="15" customWidth="1"/>
    <col min="7937" max="7937" width="1.42578125" style="15" customWidth="1"/>
    <col min="7938" max="7938" width="10" style="15" customWidth="1"/>
    <col min="7939" max="7939" width="10.85546875" style="15" customWidth="1"/>
    <col min="7940" max="7940" width="9.140625" style="15"/>
    <col min="7941" max="7941" width="11.85546875" style="15" bestFit="1" customWidth="1"/>
    <col min="7942" max="7943" width="9.140625" style="15"/>
    <col min="7944" max="7944" width="10.42578125" style="15" customWidth="1"/>
    <col min="7945" max="8179" width="9.140625" style="15"/>
    <col min="8180" max="8180" width="3.42578125" style="15" customWidth="1"/>
    <col min="8181" max="8181" width="9" style="15" customWidth="1"/>
    <col min="8182" max="8182" width="48" style="15" customWidth="1"/>
    <col min="8183" max="8183" width="12" style="15" customWidth="1"/>
    <col min="8184" max="8184" width="10" style="15" customWidth="1"/>
    <col min="8185" max="8186" width="9.140625" style="15"/>
    <col min="8187" max="8187" width="9.85546875" style="15" bestFit="1" customWidth="1"/>
    <col min="8188" max="8188" width="9.140625" style="15"/>
    <col min="8189" max="8189" width="10" style="15" bestFit="1" customWidth="1"/>
    <col min="8190" max="8191" width="10.140625" style="15" customWidth="1"/>
    <col min="8192" max="8192" width="10.5703125" style="15" customWidth="1"/>
    <col min="8193" max="8193" width="1.42578125" style="15" customWidth="1"/>
    <col min="8194" max="8194" width="10" style="15" customWidth="1"/>
    <col min="8195" max="8195" width="10.85546875" style="15" customWidth="1"/>
    <col min="8196" max="8196" width="9.140625" style="15"/>
    <col min="8197" max="8197" width="11.85546875" style="15" bestFit="1" customWidth="1"/>
    <col min="8198" max="8199" width="9.140625" style="15"/>
    <col min="8200" max="8200" width="10.42578125" style="15" customWidth="1"/>
    <col min="8201" max="8435" width="9.140625" style="15"/>
    <col min="8436" max="8436" width="3.42578125" style="15" customWidth="1"/>
    <col min="8437" max="8437" width="9" style="15" customWidth="1"/>
    <col min="8438" max="8438" width="48" style="15" customWidth="1"/>
    <col min="8439" max="8439" width="12" style="15" customWidth="1"/>
    <col min="8440" max="8440" width="10" style="15" customWidth="1"/>
    <col min="8441" max="8442" width="9.140625" style="15"/>
    <col min="8443" max="8443" width="9.85546875" style="15" bestFit="1" customWidth="1"/>
    <col min="8444" max="8444" width="9.140625" style="15"/>
    <col min="8445" max="8445" width="10" style="15" bestFit="1" customWidth="1"/>
    <col min="8446" max="8447" width="10.140625" style="15" customWidth="1"/>
    <col min="8448" max="8448" width="10.5703125" style="15" customWidth="1"/>
    <col min="8449" max="8449" width="1.42578125" style="15" customWidth="1"/>
    <col min="8450" max="8450" width="10" style="15" customWidth="1"/>
    <col min="8451" max="8451" width="10.85546875" style="15" customWidth="1"/>
    <col min="8452" max="8452" width="9.140625" style="15"/>
    <col min="8453" max="8453" width="11.85546875" style="15" bestFit="1" customWidth="1"/>
    <col min="8454" max="8455" width="9.140625" style="15"/>
    <col min="8456" max="8456" width="10.42578125" style="15" customWidth="1"/>
    <col min="8457" max="8691" width="9.140625" style="15"/>
    <col min="8692" max="8692" width="3.42578125" style="15" customWidth="1"/>
    <col min="8693" max="8693" width="9" style="15" customWidth="1"/>
    <col min="8694" max="8694" width="48" style="15" customWidth="1"/>
    <col min="8695" max="8695" width="12" style="15" customWidth="1"/>
    <col min="8696" max="8696" width="10" style="15" customWidth="1"/>
    <col min="8697" max="8698" width="9.140625" style="15"/>
    <col min="8699" max="8699" width="9.85546875" style="15" bestFit="1" customWidth="1"/>
    <col min="8700" max="8700" width="9.140625" style="15"/>
    <col min="8701" max="8701" width="10" style="15" bestFit="1" customWidth="1"/>
    <col min="8702" max="8703" width="10.140625" style="15" customWidth="1"/>
    <col min="8704" max="8704" width="10.5703125" style="15" customWidth="1"/>
    <col min="8705" max="8705" width="1.42578125" style="15" customWidth="1"/>
    <col min="8706" max="8706" width="10" style="15" customWidth="1"/>
    <col min="8707" max="8707" width="10.85546875" style="15" customWidth="1"/>
    <col min="8708" max="8708" width="9.140625" style="15"/>
    <col min="8709" max="8709" width="11.85546875" style="15" bestFit="1" customWidth="1"/>
    <col min="8710" max="8711" width="9.140625" style="15"/>
    <col min="8712" max="8712" width="10.42578125" style="15" customWidth="1"/>
    <col min="8713" max="8947" width="9.140625" style="15"/>
    <col min="8948" max="8948" width="3.42578125" style="15" customWidth="1"/>
    <col min="8949" max="8949" width="9" style="15" customWidth="1"/>
    <col min="8950" max="8950" width="48" style="15" customWidth="1"/>
    <col min="8951" max="8951" width="12" style="15" customWidth="1"/>
    <col min="8952" max="8952" width="10" style="15" customWidth="1"/>
    <col min="8953" max="8954" width="9.140625" style="15"/>
    <col min="8955" max="8955" width="9.85546875" style="15" bestFit="1" customWidth="1"/>
    <col min="8956" max="8956" width="9.140625" style="15"/>
    <col min="8957" max="8957" width="10" style="15" bestFit="1" customWidth="1"/>
    <col min="8958" max="8959" width="10.140625" style="15" customWidth="1"/>
    <col min="8960" max="8960" width="10.5703125" style="15" customWidth="1"/>
    <col min="8961" max="8961" width="1.42578125" style="15" customWidth="1"/>
    <col min="8962" max="8962" width="10" style="15" customWidth="1"/>
    <col min="8963" max="8963" width="10.85546875" style="15" customWidth="1"/>
    <col min="8964" max="8964" width="9.140625" style="15"/>
    <col min="8965" max="8965" width="11.85546875" style="15" bestFit="1" customWidth="1"/>
    <col min="8966" max="8967" width="9.140625" style="15"/>
    <col min="8968" max="8968" width="10.42578125" style="15" customWidth="1"/>
    <col min="8969" max="9203" width="9.140625" style="15"/>
    <col min="9204" max="9204" width="3.42578125" style="15" customWidth="1"/>
    <col min="9205" max="9205" width="9" style="15" customWidth="1"/>
    <col min="9206" max="9206" width="48" style="15" customWidth="1"/>
    <col min="9207" max="9207" width="12" style="15" customWidth="1"/>
    <col min="9208" max="9208" width="10" style="15" customWidth="1"/>
    <col min="9209" max="9210" width="9.140625" style="15"/>
    <col min="9211" max="9211" width="9.85546875" style="15" bestFit="1" customWidth="1"/>
    <col min="9212" max="9212" width="9.140625" style="15"/>
    <col min="9213" max="9213" width="10" style="15" bestFit="1" customWidth="1"/>
    <col min="9214" max="9215" width="10.140625" style="15" customWidth="1"/>
    <col min="9216" max="9216" width="10.5703125" style="15" customWidth="1"/>
    <col min="9217" max="9217" width="1.42578125" style="15" customWidth="1"/>
    <col min="9218" max="9218" width="10" style="15" customWidth="1"/>
    <col min="9219" max="9219" width="10.85546875" style="15" customWidth="1"/>
    <col min="9220" max="9220" width="9.140625" style="15"/>
    <col min="9221" max="9221" width="11.85546875" style="15" bestFit="1" customWidth="1"/>
    <col min="9222" max="9223" width="9.140625" style="15"/>
    <col min="9224" max="9224" width="10.42578125" style="15" customWidth="1"/>
    <col min="9225" max="9459" width="9.140625" style="15"/>
    <col min="9460" max="9460" width="3.42578125" style="15" customWidth="1"/>
    <col min="9461" max="9461" width="9" style="15" customWidth="1"/>
    <col min="9462" max="9462" width="48" style="15" customWidth="1"/>
    <col min="9463" max="9463" width="12" style="15" customWidth="1"/>
    <col min="9464" max="9464" width="10" style="15" customWidth="1"/>
    <col min="9465" max="9466" width="9.140625" style="15"/>
    <col min="9467" max="9467" width="9.85546875" style="15" bestFit="1" customWidth="1"/>
    <col min="9468" max="9468" width="9.140625" style="15"/>
    <col min="9469" max="9469" width="10" style="15" bestFit="1" customWidth="1"/>
    <col min="9470" max="9471" width="10.140625" style="15" customWidth="1"/>
    <col min="9472" max="9472" width="10.5703125" style="15" customWidth="1"/>
    <col min="9473" max="9473" width="1.42578125" style="15" customWidth="1"/>
    <col min="9474" max="9474" width="10" style="15" customWidth="1"/>
    <col min="9475" max="9475" width="10.85546875" style="15" customWidth="1"/>
    <col min="9476" max="9476" width="9.140625" style="15"/>
    <col min="9477" max="9477" width="11.85546875" style="15" bestFit="1" customWidth="1"/>
    <col min="9478" max="9479" width="9.140625" style="15"/>
    <col min="9480" max="9480" width="10.42578125" style="15" customWidth="1"/>
    <col min="9481" max="9715" width="9.140625" style="15"/>
    <col min="9716" max="9716" width="3.42578125" style="15" customWidth="1"/>
    <col min="9717" max="9717" width="9" style="15" customWidth="1"/>
    <col min="9718" max="9718" width="48" style="15" customWidth="1"/>
    <col min="9719" max="9719" width="12" style="15" customWidth="1"/>
    <col min="9720" max="9720" width="10" style="15" customWidth="1"/>
    <col min="9721" max="9722" width="9.140625" style="15"/>
    <col min="9723" max="9723" width="9.85546875" style="15" bestFit="1" customWidth="1"/>
    <col min="9724" max="9724" width="9.140625" style="15"/>
    <col min="9725" max="9725" width="10" style="15" bestFit="1" customWidth="1"/>
    <col min="9726" max="9727" width="10.140625" style="15" customWidth="1"/>
    <col min="9728" max="9728" width="10.5703125" style="15" customWidth="1"/>
    <col min="9729" max="9729" width="1.42578125" style="15" customWidth="1"/>
    <col min="9730" max="9730" width="10" style="15" customWidth="1"/>
    <col min="9731" max="9731" width="10.85546875" style="15" customWidth="1"/>
    <col min="9732" max="9732" width="9.140625" style="15"/>
    <col min="9733" max="9733" width="11.85546875" style="15" bestFit="1" customWidth="1"/>
    <col min="9734" max="9735" width="9.140625" style="15"/>
    <col min="9736" max="9736" width="10.42578125" style="15" customWidth="1"/>
    <col min="9737" max="9971" width="9.140625" style="15"/>
    <col min="9972" max="9972" width="3.42578125" style="15" customWidth="1"/>
    <col min="9973" max="9973" width="9" style="15" customWidth="1"/>
    <col min="9974" max="9974" width="48" style="15" customWidth="1"/>
    <col min="9975" max="9975" width="12" style="15" customWidth="1"/>
    <col min="9976" max="9976" width="10" style="15" customWidth="1"/>
    <col min="9977" max="9978" width="9.140625" style="15"/>
    <col min="9979" max="9979" width="9.85546875" style="15" bestFit="1" customWidth="1"/>
    <col min="9980" max="9980" width="9.140625" style="15"/>
    <col min="9981" max="9981" width="10" style="15" bestFit="1" customWidth="1"/>
    <col min="9982" max="9983" width="10.140625" style="15" customWidth="1"/>
    <col min="9984" max="9984" width="10.5703125" style="15" customWidth="1"/>
    <col min="9985" max="9985" width="1.42578125" style="15" customWidth="1"/>
    <col min="9986" max="9986" width="10" style="15" customWidth="1"/>
    <col min="9987" max="9987" width="10.85546875" style="15" customWidth="1"/>
    <col min="9988" max="9988" width="9.140625" style="15"/>
    <col min="9989" max="9989" width="11.85546875" style="15" bestFit="1" customWidth="1"/>
    <col min="9990" max="9991" width="9.140625" style="15"/>
    <col min="9992" max="9992" width="10.42578125" style="15" customWidth="1"/>
    <col min="9993" max="10227" width="9.140625" style="15"/>
    <col min="10228" max="10228" width="3.42578125" style="15" customWidth="1"/>
    <col min="10229" max="10229" width="9" style="15" customWidth="1"/>
    <col min="10230" max="10230" width="48" style="15" customWidth="1"/>
    <col min="10231" max="10231" width="12" style="15" customWidth="1"/>
    <col min="10232" max="10232" width="10" style="15" customWidth="1"/>
    <col min="10233" max="10234" width="9.140625" style="15"/>
    <col min="10235" max="10235" width="9.85546875" style="15" bestFit="1" customWidth="1"/>
    <col min="10236" max="10236" width="9.140625" style="15"/>
    <col min="10237" max="10237" width="10" style="15" bestFit="1" customWidth="1"/>
    <col min="10238" max="10239" width="10.140625" style="15" customWidth="1"/>
    <col min="10240" max="10240" width="10.5703125" style="15" customWidth="1"/>
    <col min="10241" max="10241" width="1.42578125" style="15" customWidth="1"/>
    <col min="10242" max="10242" width="10" style="15" customWidth="1"/>
    <col min="10243" max="10243" width="10.85546875" style="15" customWidth="1"/>
    <col min="10244" max="10244" width="9.140625" style="15"/>
    <col min="10245" max="10245" width="11.85546875" style="15" bestFit="1" customWidth="1"/>
    <col min="10246" max="10247" width="9.140625" style="15"/>
    <col min="10248" max="10248" width="10.42578125" style="15" customWidth="1"/>
    <col min="10249" max="10483" width="9.140625" style="15"/>
    <col min="10484" max="10484" width="3.42578125" style="15" customWidth="1"/>
    <col min="10485" max="10485" width="9" style="15" customWidth="1"/>
    <col min="10486" max="10486" width="48" style="15" customWidth="1"/>
    <col min="10487" max="10487" width="12" style="15" customWidth="1"/>
    <col min="10488" max="10488" width="10" style="15" customWidth="1"/>
    <col min="10489" max="10490" width="9.140625" style="15"/>
    <col min="10491" max="10491" width="9.85546875" style="15" bestFit="1" customWidth="1"/>
    <col min="10492" max="10492" width="9.140625" style="15"/>
    <col min="10493" max="10493" width="10" style="15" bestFit="1" customWidth="1"/>
    <col min="10494" max="10495" width="10.140625" style="15" customWidth="1"/>
    <col min="10496" max="10496" width="10.5703125" style="15" customWidth="1"/>
    <col min="10497" max="10497" width="1.42578125" style="15" customWidth="1"/>
    <col min="10498" max="10498" width="10" style="15" customWidth="1"/>
    <col min="10499" max="10499" width="10.85546875" style="15" customWidth="1"/>
    <col min="10500" max="10500" width="9.140625" style="15"/>
    <col min="10501" max="10501" width="11.85546875" style="15" bestFit="1" customWidth="1"/>
    <col min="10502" max="10503" width="9.140625" style="15"/>
    <col min="10504" max="10504" width="10.42578125" style="15" customWidth="1"/>
    <col min="10505" max="10739" width="9.140625" style="15"/>
    <col min="10740" max="10740" width="3.42578125" style="15" customWidth="1"/>
    <col min="10741" max="10741" width="9" style="15" customWidth="1"/>
    <col min="10742" max="10742" width="48" style="15" customWidth="1"/>
    <col min="10743" max="10743" width="12" style="15" customWidth="1"/>
    <col min="10744" max="10744" width="10" style="15" customWidth="1"/>
    <col min="10745" max="10746" width="9.140625" style="15"/>
    <col min="10747" max="10747" width="9.85546875" style="15" bestFit="1" customWidth="1"/>
    <col min="10748" max="10748" width="9.140625" style="15"/>
    <col min="10749" max="10749" width="10" style="15" bestFit="1" customWidth="1"/>
    <col min="10750" max="10751" width="10.140625" style="15" customWidth="1"/>
    <col min="10752" max="10752" width="10.5703125" style="15" customWidth="1"/>
    <col min="10753" max="10753" width="1.42578125" style="15" customWidth="1"/>
    <col min="10754" max="10754" width="10" style="15" customWidth="1"/>
    <col min="10755" max="10755" width="10.85546875" style="15" customWidth="1"/>
    <col min="10756" max="10756" width="9.140625" style="15"/>
    <col min="10757" max="10757" width="11.85546875" style="15" bestFit="1" customWidth="1"/>
    <col min="10758" max="10759" width="9.140625" style="15"/>
    <col min="10760" max="10760" width="10.42578125" style="15" customWidth="1"/>
    <col min="10761" max="10995" width="9.140625" style="15"/>
    <col min="10996" max="10996" width="3.42578125" style="15" customWidth="1"/>
    <col min="10997" max="10997" width="9" style="15" customWidth="1"/>
    <col min="10998" max="10998" width="48" style="15" customWidth="1"/>
    <col min="10999" max="10999" width="12" style="15" customWidth="1"/>
    <col min="11000" max="11000" width="10" style="15" customWidth="1"/>
    <col min="11001" max="11002" width="9.140625" style="15"/>
    <col min="11003" max="11003" width="9.85546875" style="15" bestFit="1" customWidth="1"/>
    <col min="11004" max="11004" width="9.140625" style="15"/>
    <col min="11005" max="11005" width="10" style="15" bestFit="1" customWidth="1"/>
    <col min="11006" max="11007" width="10.140625" style="15" customWidth="1"/>
    <col min="11008" max="11008" width="10.5703125" style="15" customWidth="1"/>
    <col min="11009" max="11009" width="1.42578125" style="15" customWidth="1"/>
    <col min="11010" max="11010" width="10" style="15" customWidth="1"/>
    <col min="11011" max="11011" width="10.85546875" style="15" customWidth="1"/>
    <col min="11012" max="11012" width="9.140625" style="15"/>
    <col min="11013" max="11013" width="11.85546875" style="15" bestFit="1" customWidth="1"/>
    <col min="11014" max="11015" width="9.140625" style="15"/>
    <col min="11016" max="11016" width="10.42578125" style="15" customWidth="1"/>
    <col min="11017" max="11251" width="9.140625" style="15"/>
    <col min="11252" max="11252" width="3.42578125" style="15" customWidth="1"/>
    <col min="11253" max="11253" width="9" style="15" customWidth="1"/>
    <col min="11254" max="11254" width="48" style="15" customWidth="1"/>
    <col min="11255" max="11255" width="12" style="15" customWidth="1"/>
    <col min="11256" max="11256" width="10" style="15" customWidth="1"/>
    <col min="11257" max="11258" width="9.140625" style="15"/>
    <col min="11259" max="11259" width="9.85546875" style="15" bestFit="1" customWidth="1"/>
    <col min="11260" max="11260" width="9.140625" style="15"/>
    <col min="11261" max="11261" width="10" style="15" bestFit="1" customWidth="1"/>
    <col min="11262" max="11263" width="10.140625" style="15" customWidth="1"/>
    <col min="11264" max="11264" width="10.5703125" style="15" customWidth="1"/>
    <col min="11265" max="11265" width="1.42578125" style="15" customWidth="1"/>
    <col min="11266" max="11266" width="10" style="15" customWidth="1"/>
    <col min="11267" max="11267" width="10.85546875" style="15" customWidth="1"/>
    <col min="11268" max="11268" width="9.140625" style="15"/>
    <col min="11269" max="11269" width="11.85546875" style="15" bestFit="1" customWidth="1"/>
    <col min="11270" max="11271" width="9.140625" style="15"/>
    <col min="11272" max="11272" width="10.42578125" style="15" customWidth="1"/>
    <col min="11273" max="11507" width="9.140625" style="15"/>
    <col min="11508" max="11508" width="3.42578125" style="15" customWidth="1"/>
    <col min="11509" max="11509" width="9" style="15" customWidth="1"/>
    <col min="11510" max="11510" width="48" style="15" customWidth="1"/>
    <col min="11511" max="11511" width="12" style="15" customWidth="1"/>
    <col min="11512" max="11512" width="10" style="15" customWidth="1"/>
    <col min="11513" max="11514" width="9.140625" style="15"/>
    <col min="11515" max="11515" width="9.85546875" style="15" bestFit="1" customWidth="1"/>
    <col min="11516" max="11516" width="9.140625" style="15"/>
    <col min="11517" max="11517" width="10" style="15" bestFit="1" customWidth="1"/>
    <col min="11518" max="11519" width="10.140625" style="15" customWidth="1"/>
    <col min="11520" max="11520" width="10.5703125" style="15" customWidth="1"/>
    <col min="11521" max="11521" width="1.42578125" style="15" customWidth="1"/>
    <col min="11522" max="11522" width="10" style="15" customWidth="1"/>
    <col min="11523" max="11523" width="10.85546875" style="15" customWidth="1"/>
    <col min="11524" max="11524" width="9.140625" style="15"/>
    <col min="11525" max="11525" width="11.85546875" style="15" bestFit="1" customWidth="1"/>
    <col min="11526" max="11527" width="9.140625" style="15"/>
    <col min="11528" max="11528" width="10.42578125" style="15" customWidth="1"/>
    <col min="11529" max="11763" width="9.140625" style="15"/>
    <col min="11764" max="11764" width="3.42578125" style="15" customWidth="1"/>
    <col min="11765" max="11765" width="9" style="15" customWidth="1"/>
    <col min="11766" max="11766" width="48" style="15" customWidth="1"/>
    <col min="11767" max="11767" width="12" style="15" customWidth="1"/>
    <col min="11768" max="11768" width="10" style="15" customWidth="1"/>
    <col min="11769" max="11770" width="9.140625" style="15"/>
    <col min="11771" max="11771" width="9.85546875" style="15" bestFit="1" customWidth="1"/>
    <col min="11772" max="11772" width="9.140625" style="15"/>
    <col min="11773" max="11773" width="10" style="15" bestFit="1" customWidth="1"/>
    <col min="11774" max="11775" width="10.140625" style="15" customWidth="1"/>
    <col min="11776" max="11776" width="10.5703125" style="15" customWidth="1"/>
    <col min="11777" max="11777" width="1.42578125" style="15" customWidth="1"/>
    <col min="11778" max="11778" width="10" style="15" customWidth="1"/>
    <col min="11779" max="11779" width="10.85546875" style="15" customWidth="1"/>
    <col min="11780" max="11780" width="9.140625" style="15"/>
    <col min="11781" max="11781" width="11.85546875" style="15" bestFit="1" customWidth="1"/>
    <col min="11782" max="11783" width="9.140625" style="15"/>
    <col min="11784" max="11784" width="10.42578125" style="15" customWidth="1"/>
    <col min="11785" max="12019" width="9.140625" style="15"/>
    <col min="12020" max="12020" width="3.42578125" style="15" customWidth="1"/>
    <col min="12021" max="12021" width="9" style="15" customWidth="1"/>
    <col min="12022" max="12022" width="48" style="15" customWidth="1"/>
    <col min="12023" max="12023" width="12" style="15" customWidth="1"/>
    <col min="12024" max="12024" width="10" style="15" customWidth="1"/>
    <col min="12025" max="12026" width="9.140625" style="15"/>
    <col min="12027" max="12027" width="9.85546875" style="15" bestFit="1" customWidth="1"/>
    <col min="12028" max="12028" width="9.140625" style="15"/>
    <col min="12029" max="12029" width="10" style="15" bestFit="1" customWidth="1"/>
    <col min="12030" max="12031" width="10.140625" style="15" customWidth="1"/>
    <col min="12032" max="12032" width="10.5703125" style="15" customWidth="1"/>
    <col min="12033" max="12033" width="1.42578125" style="15" customWidth="1"/>
    <col min="12034" max="12034" width="10" style="15" customWidth="1"/>
    <col min="12035" max="12035" width="10.85546875" style="15" customWidth="1"/>
    <col min="12036" max="12036" width="9.140625" style="15"/>
    <col min="12037" max="12037" width="11.85546875" style="15" bestFit="1" customWidth="1"/>
    <col min="12038" max="12039" width="9.140625" style="15"/>
    <col min="12040" max="12040" width="10.42578125" style="15" customWidth="1"/>
    <col min="12041" max="12275" width="9.140625" style="15"/>
    <col min="12276" max="12276" width="3.42578125" style="15" customWidth="1"/>
    <col min="12277" max="12277" width="9" style="15" customWidth="1"/>
    <col min="12278" max="12278" width="48" style="15" customWidth="1"/>
    <col min="12279" max="12279" width="12" style="15" customWidth="1"/>
    <col min="12280" max="12280" width="10" style="15" customWidth="1"/>
    <col min="12281" max="12282" width="9.140625" style="15"/>
    <col min="12283" max="12283" width="9.85546875" style="15" bestFit="1" customWidth="1"/>
    <col min="12284" max="12284" width="9.140625" style="15"/>
    <col min="12285" max="12285" width="10" style="15" bestFit="1" customWidth="1"/>
    <col min="12286" max="12287" width="10.140625" style="15" customWidth="1"/>
    <col min="12288" max="12288" width="10.5703125" style="15" customWidth="1"/>
    <col min="12289" max="12289" width="1.42578125" style="15" customWidth="1"/>
    <col min="12290" max="12290" width="10" style="15" customWidth="1"/>
    <col min="12291" max="12291" width="10.85546875" style="15" customWidth="1"/>
    <col min="12292" max="12292" width="9.140625" style="15"/>
    <col min="12293" max="12293" width="11.85546875" style="15" bestFit="1" customWidth="1"/>
    <col min="12294" max="12295" width="9.140625" style="15"/>
    <col min="12296" max="12296" width="10.42578125" style="15" customWidth="1"/>
    <col min="12297" max="12531" width="9.140625" style="15"/>
    <col min="12532" max="12532" width="3.42578125" style="15" customWidth="1"/>
    <col min="12533" max="12533" width="9" style="15" customWidth="1"/>
    <col min="12534" max="12534" width="48" style="15" customWidth="1"/>
    <col min="12535" max="12535" width="12" style="15" customWidth="1"/>
    <col min="12536" max="12536" width="10" style="15" customWidth="1"/>
    <col min="12537" max="12538" width="9.140625" style="15"/>
    <col min="12539" max="12539" width="9.85546875" style="15" bestFit="1" customWidth="1"/>
    <col min="12540" max="12540" width="9.140625" style="15"/>
    <col min="12541" max="12541" width="10" style="15" bestFit="1" customWidth="1"/>
    <col min="12542" max="12543" width="10.140625" style="15" customWidth="1"/>
    <col min="12544" max="12544" width="10.5703125" style="15" customWidth="1"/>
    <col min="12545" max="12545" width="1.42578125" style="15" customWidth="1"/>
    <col min="12546" max="12546" width="10" style="15" customWidth="1"/>
    <col min="12547" max="12547" width="10.85546875" style="15" customWidth="1"/>
    <col min="12548" max="12548" width="9.140625" style="15"/>
    <col min="12549" max="12549" width="11.85546875" style="15" bestFit="1" customWidth="1"/>
    <col min="12550" max="12551" width="9.140625" style="15"/>
    <col min="12552" max="12552" width="10.42578125" style="15" customWidth="1"/>
    <col min="12553" max="12787" width="9.140625" style="15"/>
    <col min="12788" max="12788" width="3.42578125" style="15" customWidth="1"/>
    <col min="12789" max="12789" width="9" style="15" customWidth="1"/>
    <col min="12790" max="12790" width="48" style="15" customWidth="1"/>
    <col min="12791" max="12791" width="12" style="15" customWidth="1"/>
    <col min="12792" max="12792" width="10" style="15" customWidth="1"/>
    <col min="12793" max="12794" width="9.140625" style="15"/>
    <col min="12795" max="12795" width="9.85546875" style="15" bestFit="1" customWidth="1"/>
    <col min="12796" max="12796" width="9.140625" style="15"/>
    <col min="12797" max="12797" width="10" style="15" bestFit="1" customWidth="1"/>
    <col min="12798" max="12799" width="10.140625" style="15" customWidth="1"/>
    <col min="12800" max="12800" width="10.5703125" style="15" customWidth="1"/>
    <col min="12801" max="12801" width="1.42578125" style="15" customWidth="1"/>
    <col min="12802" max="12802" width="10" style="15" customWidth="1"/>
    <col min="12803" max="12803" width="10.85546875" style="15" customWidth="1"/>
    <col min="12804" max="12804" width="9.140625" style="15"/>
    <col min="12805" max="12805" width="11.85546875" style="15" bestFit="1" customWidth="1"/>
    <col min="12806" max="12807" width="9.140625" style="15"/>
    <col min="12808" max="12808" width="10.42578125" style="15" customWidth="1"/>
    <col min="12809" max="13043" width="9.140625" style="15"/>
    <col min="13044" max="13044" width="3.42578125" style="15" customWidth="1"/>
    <col min="13045" max="13045" width="9" style="15" customWidth="1"/>
    <col min="13046" max="13046" width="48" style="15" customWidth="1"/>
    <col min="13047" max="13047" width="12" style="15" customWidth="1"/>
    <col min="13048" max="13048" width="10" style="15" customWidth="1"/>
    <col min="13049" max="13050" width="9.140625" style="15"/>
    <col min="13051" max="13051" width="9.85546875" style="15" bestFit="1" customWidth="1"/>
    <col min="13052" max="13052" width="9.140625" style="15"/>
    <col min="13053" max="13053" width="10" style="15" bestFit="1" customWidth="1"/>
    <col min="13054" max="13055" width="10.140625" style="15" customWidth="1"/>
    <col min="13056" max="13056" width="10.5703125" style="15" customWidth="1"/>
    <col min="13057" max="13057" width="1.42578125" style="15" customWidth="1"/>
    <col min="13058" max="13058" width="10" style="15" customWidth="1"/>
    <col min="13059" max="13059" width="10.85546875" style="15" customWidth="1"/>
    <col min="13060" max="13060" width="9.140625" style="15"/>
    <col min="13061" max="13061" width="11.85546875" style="15" bestFit="1" customWidth="1"/>
    <col min="13062" max="13063" width="9.140625" style="15"/>
    <col min="13064" max="13064" width="10.42578125" style="15" customWidth="1"/>
    <col min="13065" max="13299" width="9.140625" style="15"/>
    <col min="13300" max="13300" width="3.42578125" style="15" customWidth="1"/>
    <col min="13301" max="13301" width="9" style="15" customWidth="1"/>
    <col min="13302" max="13302" width="48" style="15" customWidth="1"/>
    <col min="13303" max="13303" width="12" style="15" customWidth="1"/>
    <col min="13304" max="13304" width="10" style="15" customWidth="1"/>
    <col min="13305" max="13306" width="9.140625" style="15"/>
    <col min="13307" max="13307" width="9.85546875" style="15" bestFit="1" customWidth="1"/>
    <col min="13308" max="13308" width="9.140625" style="15"/>
    <col min="13309" max="13309" width="10" style="15" bestFit="1" customWidth="1"/>
    <col min="13310" max="13311" width="10.140625" style="15" customWidth="1"/>
    <col min="13312" max="13312" width="10.5703125" style="15" customWidth="1"/>
    <col min="13313" max="13313" width="1.42578125" style="15" customWidth="1"/>
    <col min="13314" max="13314" width="10" style="15" customWidth="1"/>
    <col min="13315" max="13315" width="10.85546875" style="15" customWidth="1"/>
    <col min="13316" max="13316" width="9.140625" style="15"/>
    <col min="13317" max="13317" width="11.85546875" style="15" bestFit="1" customWidth="1"/>
    <col min="13318" max="13319" width="9.140625" style="15"/>
    <col min="13320" max="13320" width="10.42578125" style="15" customWidth="1"/>
    <col min="13321" max="13555" width="9.140625" style="15"/>
    <col min="13556" max="13556" width="3.42578125" style="15" customWidth="1"/>
    <col min="13557" max="13557" width="9" style="15" customWidth="1"/>
    <col min="13558" max="13558" width="48" style="15" customWidth="1"/>
    <col min="13559" max="13559" width="12" style="15" customWidth="1"/>
    <col min="13560" max="13560" width="10" style="15" customWidth="1"/>
    <col min="13561" max="13562" width="9.140625" style="15"/>
    <col min="13563" max="13563" width="9.85546875" style="15" bestFit="1" customWidth="1"/>
    <col min="13564" max="13564" width="9.140625" style="15"/>
    <col min="13565" max="13565" width="10" style="15" bestFit="1" customWidth="1"/>
    <col min="13566" max="13567" width="10.140625" style="15" customWidth="1"/>
    <col min="13568" max="13568" width="10.5703125" style="15" customWidth="1"/>
    <col min="13569" max="13569" width="1.42578125" style="15" customWidth="1"/>
    <col min="13570" max="13570" width="10" style="15" customWidth="1"/>
    <col min="13571" max="13571" width="10.85546875" style="15" customWidth="1"/>
    <col min="13572" max="13572" width="9.140625" style="15"/>
    <col min="13573" max="13573" width="11.85546875" style="15" bestFit="1" customWidth="1"/>
    <col min="13574" max="13575" width="9.140625" style="15"/>
    <col min="13576" max="13576" width="10.42578125" style="15" customWidth="1"/>
    <col min="13577" max="13811" width="9.140625" style="15"/>
    <col min="13812" max="13812" width="3.42578125" style="15" customWidth="1"/>
    <col min="13813" max="13813" width="9" style="15" customWidth="1"/>
    <col min="13814" max="13814" width="48" style="15" customWidth="1"/>
    <col min="13815" max="13815" width="12" style="15" customWidth="1"/>
    <col min="13816" max="13816" width="10" style="15" customWidth="1"/>
    <col min="13817" max="13818" width="9.140625" style="15"/>
    <col min="13819" max="13819" width="9.85546875" style="15" bestFit="1" customWidth="1"/>
    <col min="13820" max="13820" width="9.140625" style="15"/>
    <col min="13821" max="13821" width="10" style="15" bestFit="1" customWidth="1"/>
    <col min="13822" max="13823" width="10.140625" style="15" customWidth="1"/>
    <col min="13824" max="13824" width="10.5703125" style="15" customWidth="1"/>
    <col min="13825" max="13825" width="1.42578125" style="15" customWidth="1"/>
    <col min="13826" max="13826" width="10" style="15" customWidth="1"/>
    <col min="13827" max="13827" width="10.85546875" style="15" customWidth="1"/>
    <col min="13828" max="13828" width="9.140625" style="15"/>
    <col min="13829" max="13829" width="11.85546875" style="15" bestFit="1" customWidth="1"/>
    <col min="13830" max="13831" width="9.140625" style="15"/>
    <col min="13832" max="13832" width="10.42578125" style="15" customWidth="1"/>
    <col min="13833" max="14067" width="9.140625" style="15"/>
    <col min="14068" max="14068" width="3.42578125" style="15" customWidth="1"/>
    <col min="14069" max="14069" width="9" style="15" customWidth="1"/>
    <col min="14070" max="14070" width="48" style="15" customWidth="1"/>
    <col min="14071" max="14071" width="12" style="15" customWidth="1"/>
    <col min="14072" max="14072" width="10" style="15" customWidth="1"/>
    <col min="14073" max="14074" width="9.140625" style="15"/>
    <col min="14075" max="14075" width="9.85546875" style="15" bestFit="1" customWidth="1"/>
    <col min="14076" max="14076" width="9.140625" style="15"/>
    <col min="14077" max="14077" width="10" style="15" bestFit="1" customWidth="1"/>
    <col min="14078" max="14079" width="10.140625" style="15" customWidth="1"/>
    <col min="14080" max="14080" width="10.5703125" style="15" customWidth="1"/>
    <col min="14081" max="14081" width="1.42578125" style="15" customWidth="1"/>
    <col min="14082" max="14082" width="10" style="15" customWidth="1"/>
    <col min="14083" max="14083" width="10.85546875" style="15" customWidth="1"/>
    <col min="14084" max="14084" width="9.140625" style="15"/>
    <col min="14085" max="14085" width="11.85546875" style="15" bestFit="1" customWidth="1"/>
    <col min="14086" max="14087" width="9.140625" style="15"/>
    <col min="14088" max="14088" width="10.42578125" style="15" customWidth="1"/>
    <col min="14089" max="14323" width="9.140625" style="15"/>
    <col min="14324" max="14324" width="3.42578125" style="15" customWidth="1"/>
    <col min="14325" max="14325" width="9" style="15" customWidth="1"/>
    <col min="14326" max="14326" width="48" style="15" customWidth="1"/>
    <col min="14327" max="14327" width="12" style="15" customWidth="1"/>
    <col min="14328" max="14328" width="10" style="15" customWidth="1"/>
    <col min="14329" max="14330" width="9.140625" style="15"/>
    <col min="14331" max="14331" width="9.85546875" style="15" bestFit="1" customWidth="1"/>
    <col min="14332" max="14332" width="9.140625" style="15"/>
    <col min="14333" max="14333" width="10" style="15" bestFit="1" customWidth="1"/>
    <col min="14334" max="14335" width="10.140625" style="15" customWidth="1"/>
    <col min="14336" max="14336" width="10.5703125" style="15" customWidth="1"/>
    <col min="14337" max="14337" width="1.42578125" style="15" customWidth="1"/>
    <col min="14338" max="14338" width="10" style="15" customWidth="1"/>
    <col min="14339" max="14339" width="10.85546875" style="15" customWidth="1"/>
    <col min="14340" max="14340" width="9.140625" style="15"/>
    <col min="14341" max="14341" width="11.85546875" style="15" bestFit="1" customWidth="1"/>
    <col min="14342" max="14343" width="9.140625" style="15"/>
    <col min="14344" max="14344" width="10.42578125" style="15" customWidth="1"/>
    <col min="14345" max="14579" width="9.140625" style="15"/>
    <col min="14580" max="14580" width="3.42578125" style="15" customWidth="1"/>
    <col min="14581" max="14581" width="9" style="15" customWidth="1"/>
    <col min="14582" max="14582" width="48" style="15" customWidth="1"/>
    <col min="14583" max="14583" width="12" style="15" customWidth="1"/>
    <col min="14584" max="14584" width="10" style="15" customWidth="1"/>
    <col min="14585" max="14586" width="9.140625" style="15"/>
    <col min="14587" max="14587" width="9.85546875" style="15" bestFit="1" customWidth="1"/>
    <col min="14588" max="14588" width="9.140625" style="15"/>
    <col min="14589" max="14589" width="10" style="15" bestFit="1" customWidth="1"/>
    <col min="14590" max="14591" width="10.140625" style="15" customWidth="1"/>
    <col min="14592" max="14592" width="10.5703125" style="15" customWidth="1"/>
    <col min="14593" max="14593" width="1.42578125" style="15" customWidth="1"/>
    <col min="14594" max="14594" width="10" style="15" customWidth="1"/>
    <col min="14595" max="14595" width="10.85546875" style="15" customWidth="1"/>
    <col min="14596" max="14596" width="9.140625" style="15"/>
    <col min="14597" max="14597" width="11.85546875" style="15" bestFit="1" customWidth="1"/>
    <col min="14598" max="14599" width="9.140625" style="15"/>
    <col min="14600" max="14600" width="10.42578125" style="15" customWidth="1"/>
    <col min="14601" max="14835" width="9.140625" style="15"/>
    <col min="14836" max="14836" width="3.42578125" style="15" customWidth="1"/>
    <col min="14837" max="14837" width="9" style="15" customWidth="1"/>
    <col min="14838" max="14838" width="48" style="15" customWidth="1"/>
    <col min="14839" max="14839" width="12" style="15" customWidth="1"/>
    <col min="14840" max="14840" width="10" style="15" customWidth="1"/>
    <col min="14841" max="14842" width="9.140625" style="15"/>
    <col min="14843" max="14843" width="9.85546875" style="15" bestFit="1" customWidth="1"/>
    <col min="14844" max="14844" width="9.140625" style="15"/>
    <col min="14845" max="14845" width="10" style="15" bestFit="1" customWidth="1"/>
    <col min="14846" max="14847" width="10.140625" style="15" customWidth="1"/>
    <col min="14848" max="14848" width="10.5703125" style="15" customWidth="1"/>
    <col min="14849" max="14849" width="1.42578125" style="15" customWidth="1"/>
    <col min="14850" max="14850" width="10" style="15" customWidth="1"/>
    <col min="14851" max="14851" width="10.85546875" style="15" customWidth="1"/>
    <col min="14852" max="14852" width="9.140625" style="15"/>
    <col min="14853" max="14853" width="11.85546875" style="15" bestFit="1" customWidth="1"/>
    <col min="14854" max="14855" width="9.140625" style="15"/>
    <col min="14856" max="14856" width="10.42578125" style="15" customWidth="1"/>
    <col min="14857" max="15091" width="9.140625" style="15"/>
    <col min="15092" max="15092" width="3.42578125" style="15" customWidth="1"/>
    <col min="15093" max="15093" width="9" style="15" customWidth="1"/>
    <col min="15094" max="15094" width="48" style="15" customWidth="1"/>
    <col min="15095" max="15095" width="12" style="15" customWidth="1"/>
    <col min="15096" max="15096" width="10" style="15" customWidth="1"/>
    <col min="15097" max="15098" width="9.140625" style="15"/>
    <col min="15099" max="15099" width="9.85546875" style="15" bestFit="1" customWidth="1"/>
    <col min="15100" max="15100" width="9.140625" style="15"/>
    <col min="15101" max="15101" width="10" style="15" bestFit="1" customWidth="1"/>
    <col min="15102" max="15103" width="10.140625" style="15" customWidth="1"/>
    <col min="15104" max="15104" width="10.5703125" style="15" customWidth="1"/>
    <col min="15105" max="15105" width="1.42578125" style="15" customWidth="1"/>
    <col min="15106" max="15106" width="10" style="15" customWidth="1"/>
    <col min="15107" max="15107" width="10.85546875" style="15" customWidth="1"/>
    <col min="15108" max="15108" width="9.140625" style="15"/>
    <col min="15109" max="15109" width="11.85546875" style="15" bestFit="1" customWidth="1"/>
    <col min="15110" max="15111" width="9.140625" style="15"/>
    <col min="15112" max="15112" width="10.42578125" style="15" customWidth="1"/>
    <col min="15113" max="15347" width="9.140625" style="15"/>
    <col min="15348" max="15348" width="3.42578125" style="15" customWidth="1"/>
    <col min="15349" max="15349" width="9" style="15" customWidth="1"/>
    <col min="15350" max="15350" width="48" style="15" customWidth="1"/>
    <col min="15351" max="15351" width="12" style="15" customWidth="1"/>
    <col min="15352" max="15352" width="10" style="15" customWidth="1"/>
    <col min="15353" max="15354" width="9.140625" style="15"/>
    <col min="15355" max="15355" width="9.85546875" style="15" bestFit="1" customWidth="1"/>
    <col min="15356" max="15356" width="9.140625" style="15"/>
    <col min="15357" max="15357" width="10" style="15" bestFit="1" customWidth="1"/>
    <col min="15358" max="15359" width="10.140625" style="15" customWidth="1"/>
    <col min="15360" max="15360" width="10.5703125" style="15" customWidth="1"/>
    <col min="15361" max="15361" width="1.42578125" style="15" customWidth="1"/>
    <col min="15362" max="15362" width="10" style="15" customWidth="1"/>
    <col min="15363" max="15363" width="10.85546875" style="15" customWidth="1"/>
    <col min="15364" max="15364" width="9.140625" style="15"/>
    <col min="15365" max="15365" width="11.85546875" style="15" bestFit="1" customWidth="1"/>
    <col min="15366" max="15367" width="9.140625" style="15"/>
    <col min="15368" max="15368" width="10.42578125" style="15" customWidth="1"/>
    <col min="15369" max="15603" width="9.140625" style="15"/>
    <col min="15604" max="15604" width="3.42578125" style="15" customWidth="1"/>
    <col min="15605" max="15605" width="9" style="15" customWidth="1"/>
    <col min="15606" max="15606" width="48" style="15" customWidth="1"/>
    <col min="15607" max="15607" width="12" style="15" customWidth="1"/>
    <col min="15608" max="15608" width="10" style="15" customWidth="1"/>
    <col min="15609" max="15610" width="9.140625" style="15"/>
    <col min="15611" max="15611" width="9.85546875" style="15" bestFit="1" customWidth="1"/>
    <col min="15612" max="15612" width="9.140625" style="15"/>
    <col min="15613" max="15613" width="10" style="15" bestFit="1" customWidth="1"/>
    <col min="15614" max="15615" width="10.140625" style="15" customWidth="1"/>
    <col min="15616" max="15616" width="10.5703125" style="15" customWidth="1"/>
    <col min="15617" max="15617" width="1.42578125" style="15" customWidth="1"/>
    <col min="15618" max="15618" width="10" style="15" customWidth="1"/>
    <col min="15619" max="15619" width="10.85546875" style="15" customWidth="1"/>
    <col min="15620" max="15620" width="9.140625" style="15"/>
    <col min="15621" max="15621" width="11.85546875" style="15" bestFit="1" customWidth="1"/>
    <col min="15622" max="15623" width="9.140625" style="15"/>
    <col min="15624" max="15624" width="10.42578125" style="15" customWidth="1"/>
    <col min="15625" max="15859" width="9.140625" style="15"/>
    <col min="15860" max="15860" width="3.42578125" style="15" customWidth="1"/>
    <col min="15861" max="15861" width="9" style="15" customWidth="1"/>
    <col min="15862" max="15862" width="48" style="15" customWidth="1"/>
    <col min="15863" max="15863" width="12" style="15" customWidth="1"/>
    <col min="15864" max="15864" width="10" style="15" customWidth="1"/>
    <col min="15865" max="15866" width="9.140625" style="15"/>
    <col min="15867" max="15867" width="9.85546875" style="15" bestFit="1" customWidth="1"/>
    <col min="15868" max="15868" width="9.140625" style="15"/>
    <col min="15869" max="15869" width="10" style="15" bestFit="1" customWidth="1"/>
    <col min="15870" max="15871" width="10.140625" style="15" customWidth="1"/>
    <col min="15872" max="15872" width="10.5703125" style="15" customWidth="1"/>
    <col min="15873" max="15873" width="1.42578125" style="15" customWidth="1"/>
    <col min="15874" max="15874" width="10" style="15" customWidth="1"/>
    <col min="15875" max="15875" width="10.85546875" style="15" customWidth="1"/>
    <col min="15876" max="15876" width="9.140625" style="15"/>
    <col min="15877" max="15877" width="11.85546875" style="15" bestFit="1" customWidth="1"/>
    <col min="15878" max="15879" width="9.140625" style="15"/>
    <col min="15880" max="15880" width="10.42578125" style="15" customWidth="1"/>
    <col min="15881" max="16115" width="9.140625" style="15"/>
    <col min="16116" max="16116" width="3.42578125" style="15" customWidth="1"/>
    <col min="16117" max="16117" width="9" style="15" customWidth="1"/>
    <col min="16118" max="16118" width="48" style="15" customWidth="1"/>
    <col min="16119" max="16119" width="12" style="15" customWidth="1"/>
    <col min="16120" max="16120" width="10" style="15" customWidth="1"/>
    <col min="16121" max="16122" width="9.140625" style="15"/>
    <col min="16123" max="16123" width="9.85546875" style="15" bestFit="1" customWidth="1"/>
    <col min="16124" max="16124" width="9.140625" style="15"/>
    <col min="16125" max="16125" width="10" style="15" bestFit="1" customWidth="1"/>
    <col min="16126" max="16127" width="10.140625" style="15" customWidth="1"/>
    <col min="16128" max="16128" width="10.5703125" style="15" customWidth="1"/>
    <col min="16129" max="16129" width="1.42578125" style="15" customWidth="1"/>
    <col min="16130" max="16130" width="10" style="15" customWidth="1"/>
    <col min="16131" max="16131" width="10.85546875" style="15" customWidth="1"/>
    <col min="16132" max="16132" width="9.140625" style="15"/>
    <col min="16133" max="16133" width="11.85546875" style="15" bestFit="1" customWidth="1"/>
    <col min="16134" max="16135" width="9.140625" style="15"/>
    <col min="16136" max="16136" width="10.42578125" style="15" customWidth="1"/>
    <col min="16137" max="16384" width="9.140625" style="15"/>
  </cols>
  <sheetData>
    <row r="1" spans="1:14" ht="15.75" x14ac:dyDescent="0.25">
      <c r="A1" s="470" t="s">
        <v>1334</v>
      </c>
      <c r="B1" s="66"/>
      <c r="C1" s="66"/>
      <c r="D1" s="772"/>
      <c r="E1" s="471"/>
      <c r="F1" s="1033"/>
      <c r="G1" s="1033"/>
      <c r="H1" s="774"/>
      <c r="I1" s="774"/>
      <c r="J1" s="894"/>
      <c r="K1" s="472"/>
      <c r="L1" s="458"/>
      <c r="M1" s="14"/>
      <c r="N1" s="14"/>
    </row>
    <row r="2" spans="1:14" ht="15.75" x14ac:dyDescent="0.25">
      <c r="A2" s="470"/>
      <c r="B2" s="66"/>
      <c r="C2" s="66"/>
      <c r="D2" s="1098"/>
      <c r="E2" s="1099"/>
      <c r="F2" s="1100"/>
      <c r="G2" s="1100"/>
      <c r="H2" s="1101"/>
      <c r="I2" s="1100"/>
      <c r="J2" s="1099"/>
      <c r="K2" s="1102"/>
      <c r="L2" s="1102"/>
      <c r="M2" s="458"/>
      <c r="N2" s="14"/>
    </row>
    <row r="3" spans="1:14" ht="15.75" x14ac:dyDescent="0.25">
      <c r="A3" s="470"/>
      <c r="B3" s="66"/>
      <c r="C3" s="66"/>
      <c r="D3" s="1099"/>
      <c r="E3" s="1099"/>
      <c r="F3" s="1100"/>
      <c r="G3" s="1100"/>
      <c r="H3" s="1100"/>
      <c r="I3" s="1100"/>
      <c r="J3" s="1103"/>
      <c r="K3" s="1104"/>
      <c r="L3" s="1105"/>
      <c r="M3" s="458"/>
      <c r="N3" s="14"/>
    </row>
    <row r="4" spans="1:14" ht="15.75" x14ac:dyDescent="0.25">
      <c r="A4" s="470"/>
      <c r="B4" s="66"/>
      <c r="C4" s="66"/>
      <c r="D4" s="1106"/>
      <c r="E4" s="1099"/>
      <c r="F4" s="1100"/>
      <c r="G4" s="1100"/>
      <c r="H4" s="1100"/>
      <c r="I4" s="1100"/>
      <c r="J4" s="1099"/>
      <c r="K4" s="1107"/>
      <c r="L4" s="896"/>
      <c r="M4" s="895" t="s">
        <v>1243</v>
      </c>
      <c r="N4" s="14"/>
    </row>
    <row r="5" spans="1:14" s="16" customFormat="1" ht="13.5" thickBot="1" x14ac:dyDescent="0.3">
      <c r="A5" s="430"/>
      <c r="B5" s="430"/>
      <c r="C5" s="430"/>
      <c r="D5" s="1108"/>
      <c r="E5" s="1099"/>
      <c r="F5" s="1099"/>
      <c r="G5" s="1099"/>
      <c r="H5" s="1099"/>
      <c r="I5" s="1099"/>
      <c r="J5" s="1099"/>
      <c r="K5" s="1099"/>
      <c r="L5" s="430"/>
      <c r="M5" s="20" t="s">
        <v>524</v>
      </c>
      <c r="N5" s="430"/>
    </row>
    <row r="6" spans="1:14" s="16" customFormat="1" ht="17.25" customHeight="1" x14ac:dyDescent="0.25">
      <c r="A6" s="1416" t="s">
        <v>497</v>
      </c>
      <c r="B6" s="1419" t="s">
        <v>773</v>
      </c>
      <c r="C6" s="1420"/>
      <c r="D6" s="1425" t="s">
        <v>787</v>
      </c>
      <c r="E6" s="1426"/>
      <c r="F6" s="1426"/>
      <c r="G6" s="1426"/>
      <c r="H6" s="1426"/>
      <c r="I6" s="1426"/>
      <c r="J6" s="1426"/>
      <c r="K6" s="1427"/>
      <c r="L6" s="1428" t="s">
        <v>699</v>
      </c>
      <c r="M6" s="1429"/>
      <c r="N6" s="430"/>
    </row>
    <row r="7" spans="1:14" s="16" customFormat="1" ht="15" customHeight="1" x14ac:dyDescent="0.25">
      <c r="A7" s="1417"/>
      <c r="B7" s="1421"/>
      <c r="C7" s="1422"/>
      <c r="D7" s="1381" t="s">
        <v>696</v>
      </c>
      <c r="E7" s="1381" t="s">
        <v>697</v>
      </c>
      <c r="F7" s="1430" t="s">
        <v>698</v>
      </c>
      <c r="G7" s="1431"/>
      <c r="H7" s="1431"/>
      <c r="I7" s="1431"/>
      <c r="J7" s="1431"/>
      <c r="K7" s="1432" t="s">
        <v>636</v>
      </c>
      <c r="L7" s="1434" t="s">
        <v>700</v>
      </c>
      <c r="M7" s="1436" t="s">
        <v>701</v>
      </c>
      <c r="N7" s="430"/>
    </row>
    <row r="8" spans="1:14" ht="14.25" customHeight="1" x14ac:dyDescent="0.25">
      <c r="A8" s="1417"/>
      <c r="B8" s="1421"/>
      <c r="C8" s="1422"/>
      <c r="D8" s="1382"/>
      <c r="E8" s="1382"/>
      <c r="F8" s="1109"/>
      <c r="G8" s="1109"/>
      <c r="H8" s="1109"/>
      <c r="I8" s="1109"/>
      <c r="J8" s="1109"/>
      <c r="K8" s="1433"/>
      <c r="L8" s="1435"/>
      <c r="M8" s="1437"/>
      <c r="N8" s="14"/>
    </row>
    <row r="9" spans="1:14" s="479" customFormat="1" ht="23.25" customHeight="1" thickBot="1" x14ac:dyDescent="0.3">
      <c r="A9" s="1418"/>
      <c r="B9" s="1423"/>
      <c r="C9" s="1424"/>
      <c r="D9" s="474" t="s">
        <v>577</v>
      </c>
      <c r="E9" s="474" t="s">
        <v>578</v>
      </c>
      <c r="F9" s="474"/>
      <c r="G9" s="474"/>
      <c r="H9" s="474"/>
      <c r="I9" s="474"/>
      <c r="J9" s="474"/>
      <c r="K9" s="475" t="s">
        <v>955</v>
      </c>
      <c r="L9" s="476" t="s">
        <v>581</v>
      </c>
      <c r="M9" s="477" t="s">
        <v>582</v>
      </c>
      <c r="N9" s="478"/>
    </row>
    <row r="10" spans="1:14" x14ac:dyDescent="0.25">
      <c r="A10" s="480">
        <v>1</v>
      </c>
      <c r="B10" s="481" t="s">
        <v>692</v>
      </c>
      <c r="C10" s="482"/>
      <c r="D10" s="1110">
        <f>SUM(D11+D12+D13+D14+D15+D16+D19+D23+D27+D28)</f>
        <v>53341.278440000002</v>
      </c>
      <c r="E10" s="483">
        <f t="shared" ref="E10:J10" si="0">SUM(E11+E12+E13+E14+E15+E16+E19+E23+E27+E28)</f>
        <v>13419.994999999999</v>
      </c>
      <c r="F10" s="1034">
        <f>SUM(F11+F12+F13+F14+F15+F16+F19+F23+F27+F28)</f>
        <v>208.06299999999999</v>
      </c>
      <c r="G10" s="483">
        <f>SUM(G11+G12+G13+G14+G15+G16+G19+G23+G27+G28)</f>
        <v>401.10500000000002</v>
      </c>
      <c r="H10" s="483">
        <f t="shared" si="0"/>
        <v>8974.5921799999996</v>
      </c>
      <c r="I10" s="483">
        <f t="shared" si="0"/>
        <v>6</v>
      </c>
      <c r="J10" s="483">
        <f t="shared" si="0"/>
        <v>0</v>
      </c>
      <c r="K10" s="484">
        <f>SUM(K11+K12+K13+K14+K15+K16+K19+K23+K27+K28)</f>
        <v>76351.033620000002</v>
      </c>
      <c r="L10" s="484">
        <f>SUM(L11+L12+L13+L14+L15+L16+L19+L23+L27+L28)</f>
        <v>76351.033620000002</v>
      </c>
      <c r="M10" s="485">
        <f>SUM(M11+M12+M13+M14+M15+M16+M19+M23+M27+M28)</f>
        <v>0</v>
      </c>
      <c r="N10" s="486"/>
    </row>
    <row r="11" spans="1:14" ht="12.75" customHeight="1" x14ac:dyDescent="0.25">
      <c r="A11" s="487">
        <v>2</v>
      </c>
      <c r="B11" s="1410" t="s">
        <v>587</v>
      </c>
      <c r="C11" s="1411"/>
      <c r="D11" s="488">
        <f>(3458-E11)</f>
        <v>0</v>
      </c>
      <c r="E11" s="489">
        <v>3458</v>
      </c>
      <c r="F11" s="489"/>
      <c r="G11" s="489"/>
      <c r="H11" s="489"/>
      <c r="I11" s="489"/>
      <c r="J11" s="489"/>
      <c r="K11" s="490">
        <f>SUM(D11:J11)</f>
        <v>3458</v>
      </c>
      <c r="L11" s="489">
        <f t="shared" ref="L11:L18" si="1">K11</f>
        <v>3458</v>
      </c>
      <c r="M11" s="491">
        <v>0</v>
      </c>
      <c r="N11" s="492"/>
    </row>
    <row r="12" spans="1:14" ht="24" customHeight="1" x14ac:dyDescent="0.25">
      <c r="A12" s="487">
        <v>3</v>
      </c>
      <c r="B12" s="1410" t="s">
        <v>588</v>
      </c>
      <c r="C12" s="1411"/>
      <c r="D12" s="1111">
        <f>(7371.64-E12)+130.3+262.234-0.2</f>
        <v>630.83399999999995</v>
      </c>
      <c r="E12" s="897">
        <v>7133.14</v>
      </c>
      <c r="F12" s="489">
        <f>8+74.813+62.5+0</f>
        <v>145.31299999999999</v>
      </c>
      <c r="G12" s="897">
        <f>0+0+166.13</f>
        <v>166.13</v>
      </c>
      <c r="H12" s="489"/>
      <c r="I12" s="489">
        <v>6</v>
      </c>
      <c r="J12" s="489"/>
      <c r="K12" s="237">
        <f>SUM(D12:J12)</f>
        <v>8081.4170000000004</v>
      </c>
      <c r="L12" s="489">
        <f t="shared" si="1"/>
        <v>8081.4170000000004</v>
      </c>
      <c r="M12" s="491">
        <v>0</v>
      </c>
      <c r="N12" s="486"/>
    </row>
    <row r="13" spans="1:14" ht="24" customHeight="1" x14ac:dyDescent="0.25">
      <c r="A13" s="487">
        <v>4</v>
      </c>
      <c r="B13" s="1414" t="s">
        <v>693</v>
      </c>
      <c r="C13" s="1415"/>
      <c r="D13" s="488">
        <f>(28.3-E13)+158.68+5364.406+71.899</f>
        <v>5623.2850000000008</v>
      </c>
      <c r="E13" s="897">
        <v>0</v>
      </c>
      <c r="F13" s="489">
        <f>0+21+23+0</f>
        <v>44</v>
      </c>
      <c r="G13" s="897">
        <f>0+0+234.975</f>
        <v>234.97499999999999</v>
      </c>
      <c r="H13" s="489"/>
      <c r="I13" s="489"/>
      <c r="J13" s="489"/>
      <c r="K13" s="237">
        <f>SUM(D13:J13)</f>
        <v>5902.2600000000011</v>
      </c>
      <c r="L13" s="489">
        <f t="shared" si="1"/>
        <v>5902.2600000000011</v>
      </c>
      <c r="M13" s="491">
        <v>0</v>
      </c>
      <c r="N13" s="486"/>
    </row>
    <row r="14" spans="1:14" x14ac:dyDescent="0.25">
      <c r="A14" s="487">
        <v>5</v>
      </c>
      <c r="B14" s="1410" t="s">
        <v>695</v>
      </c>
      <c r="C14" s="1411"/>
      <c r="D14" s="488"/>
      <c r="E14" s="897"/>
      <c r="F14" s="489"/>
      <c r="G14" s="489"/>
      <c r="H14" s="489"/>
      <c r="I14" s="489"/>
      <c r="J14" s="489"/>
      <c r="K14" s="490">
        <f>SUM(D14:J14)</f>
        <v>0</v>
      </c>
      <c r="L14" s="489">
        <f t="shared" si="1"/>
        <v>0</v>
      </c>
      <c r="M14" s="491">
        <v>0</v>
      </c>
      <c r="N14" s="486"/>
    </row>
    <row r="15" spans="1:14" x14ac:dyDescent="0.25">
      <c r="A15" s="487">
        <v>6</v>
      </c>
      <c r="B15" s="1410" t="s">
        <v>589</v>
      </c>
      <c r="C15" s="1411"/>
      <c r="D15" s="1112">
        <f>1809.54-J15</f>
        <v>1809.54</v>
      </c>
      <c r="E15" s="897">
        <v>0</v>
      </c>
      <c r="F15" s="489"/>
      <c r="G15" s="489"/>
      <c r="H15" s="489"/>
      <c r="I15" s="489"/>
      <c r="J15" s="893">
        <v>0</v>
      </c>
      <c r="K15" s="490">
        <f>SUM(D15:J15)</f>
        <v>1809.54</v>
      </c>
      <c r="L15" s="489">
        <f t="shared" si="1"/>
        <v>1809.54</v>
      </c>
      <c r="M15" s="491">
        <v>0</v>
      </c>
      <c r="N15" s="486"/>
    </row>
    <row r="16" spans="1:14" x14ac:dyDescent="0.25">
      <c r="A16" s="493">
        <v>7</v>
      </c>
      <c r="B16" s="1408" t="s">
        <v>694</v>
      </c>
      <c r="C16" s="1412"/>
      <c r="D16" s="494">
        <f t="shared" ref="D16:J16" si="2">D17+D18</f>
        <v>21081.494999999999</v>
      </c>
      <c r="E16" s="898">
        <f t="shared" si="2"/>
        <v>2828.855</v>
      </c>
      <c r="F16" s="495">
        <f t="shared" si="2"/>
        <v>18.75</v>
      </c>
      <c r="G16" s="495">
        <f t="shared" si="2"/>
        <v>0</v>
      </c>
      <c r="H16" s="495">
        <f t="shared" si="2"/>
        <v>0</v>
      </c>
      <c r="I16" s="495">
        <f t="shared" si="2"/>
        <v>0</v>
      </c>
      <c r="J16" s="495">
        <f t="shared" si="2"/>
        <v>0</v>
      </c>
      <c r="K16" s="898">
        <f>K17+K18</f>
        <v>23929.1</v>
      </c>
      <c r="L16" s="898">
        <f t="shared" si="1"/>
        <v>23929.1</v>
      </c>
      <c r="M16" s="496">
        <f>M17+M18</f>
        <v>0</v>
      </c>
      <c r="N16" s="486"/>
    </row>
    <row r="17" spans="1:14" x14ac:dyDescent="0.25">
      <c r="A17" s="497">
        <v>8</v>
      </c>
      <c r="B17" s="498" t="s">
        <v>526</v>
      </c>
      <c r="C17" s="499" t="s">
        <v>590</v>
      </c>
      <c r="D17" s="500">
        <f>20696.395-J17</f>
        <v>20696.395</v>
      </c>
      <c r="E17" s="1035">
        <v>0</v>
      </c>
      <c r="F17" s="501"/>
      <c r="G17" s="501"/>
      <c r="H17" s="501"/>
      <c r="I17" s="501"/>
      <c r="J17" s="773">
        <v>0</v>
      </c>
      <c r="K17" s="502">
        <f>SUM(D17:J17)</f>
        <v>20696.395</v>
      </c>
      <c r="L17" s="501">
        <f t="shared" si="1"/>
        <v>20696.395</v>
      </c>
      <c r="M17" s="503">
        <v>0</v>
      </c>
      <c r="N17" s="486"/>
    </row>
    <row r="18" spans="1:14" x14ac:dyDescent="0.25">
      <c r="A18" s="504">
        <v>9</v>
      </c>
      <c r="B18" s="1095"/>
      <c r="C18" s="505" t="s">
        <v>745</v>
      </c>
      <c r="D18" s="1113">
        <f>(3185.355-E18)+28.3+0.3</f>
        <v>385.1</v>
      </c>
      <c r="E18" s="1036">
        <v>2828.855</v>
      </c>
      <c r="F18" s="1036">
        <f>0+18.75+0+0</f>
        <v>18.75</v>
      </c>
      <c r="G18" s="507"/>
      <c r="H18" s="507"/>
      <c r="I18" s="507"/>
      <c r="J18" s="507"/>
      <c r="K18" s="508">
        <f>SUM(D18:J18)</f>
        <v>3232.7049999999999</v>
      </c>
      <c r="L18" s="507">
        <f t="shared" si="1"/>
        <v>3232.7049999999999</v>
      </c>
      <c r="M18" s="509">
        <v>0</v>
      </c>
      <c r="N18" s="486"/>
    </row>
    <row r="19" spans="1:14" x14ac:dyDescent="0.25">
      <c r="A19" s="510">
        <v>10</v>
      </c>
      <c r="B19" s="1413" t="s">
        <v>591</v>
      </c>
      <c r="C19" s="1412"/>
      <c r="D19" s="494">
        <f t="shared" ref="D19:M19" si="3">D20+D21+D22</f>
        <v>5914.47444</v>
      </c>
      <c r="E19" s="898">
        <f t="shared" si="3"/>
        <v>0</v>
      </c>
      <c r="F19" s="495">
        <f t="shared" si="3"/>
        <v>0</v>
      </c>
      <c r="G19" s="495">
        <f t="shared" si="3"/>
        <v>0</v>
      </c>
      <c r="H19" s="495">
        <f t="shared" si="3"/>
        <v>8974.5921799999996</v>
      </c>
      <c r="I19" s="495">
        <f t="shared" si="3"/>
        <v>0</v>
      </c>
      <c r="J19" s="495">
        <f t="shared" si="3"/>
        <v>0</v>
      </c>
      <c r="K19" s="495">
        <f t="shared" si="3"/>
        <v>14889.06662</v>
      </c>
      <c r="L19" s="495">
        <f t="shared" si="3"/>
        <v>14889.06662</v>
      </c>
      <c r="M19" s="496">
        <f t="shared" si="3"/>
        <v>0</v>
      </c>
      <c r="N19" s="511"/>
    </row>
    <row r="20" spans="1:14" x14ac:dyDescent="0.25">
      <c r="A20" s="512">
        <v>11</v>
      </c>
      <c r="B20" s="513" t="s">
        <v>526</v>
      </c>
      <c r="C20" s="499" t="s">
        <v>592</v>
      </c>
      <c r="D20" s="1114">
        <f>5914.57444-J20-0.1</f>
        <v>5914.47444</v>
      </c>
      <c r="E20" s="514"/>
      <c r="F20" s="514"/>
      <c r="G20" s="514"/>
      <c r="H20" s="515">
        <v>8974.5921799999996</v>
      </c>
      <c r="I20" s="514"/>
      <c r="J20" s="514"/>
      <c r="K20" s="502">
        <f>SUM(D20:J20)</f>
        <v>14889.06662</v>
      </c>
      <c r="L20" s="514">
        <f>K20</f>
        <v>14889.06662</v>
      </c>
      <c r="M20" s="516">
        <v>0</v>
      </c>
      <c r="N20" s="511"/>
    </row>
    <row r="21" spans="1:14" x14ac:dyDescent="0.25">
      <c r="A21" s="512">
        <v>12</v>
      </c>
      <c r="B21" s="517"/>
      <c r="C21" s="499" t="s">
        <v>593</v>
      </c>
      <c r="D21" s="1037"/>
      <c r="E21" s="514"/>
      <c r="F21" s="514"/>
      <c r="G21" s="514"/>
      <c r="H21" s="514"/>
      <c r="I21" s="514"/>
      <c r="J21" s="514"/>
      <c r="K21" s="502">
        <f>SUM(D21:J21)</f>
        <v>0</v>
      </c>
      <c r="L21" s="514">
        <f>K21</f>
        <v>0</v>
      </c>
      <c r="M21" s="516">
        <v>0</v>
      </c>
      <c r="N21" s="511"/>
    </row>
    <row r="22" spans="1:14" x14ac:dyDescent="0.25">
      <c r="A22" s="518">
        <v>13</v>
      </c>
      <c r="B22" s="519"/>
      <c r="C22" s="520" t="s">
        <v>691</v>
      </c>
      <c r="D22" s="506"/>
      <c r="E22" s="507"/>
      <c r="F22" s="507"/>
      <c r="G22" s="507"/>
      <c r="H22" s="507"/>
      <c r="I22" s="507"/>
      <c r="J22" s="507"/>
      <c r="K22" s="521">
        <f>SUM(D22:J22)</f>
        <v>0</v>
      </c>
      <c r="L22" s="507">
        <f>K22</f>
        <v>0</v>
      </c>
      <c r="M22" s="509">
        <v>0</v>
      </c>
      <c r="N22" s="511"/>
    </row>
    <row r="23" spans="1:14" ht="12.75" customHeight="1" x14ac:dyDescent="0.25">
      <c r="A23" s="510">
        <v>14</v>
      </c>
      <c r="B23" s="1413" t="s">
        <v>594</v>
      </c>
      <c r="C23" s="1412"/>
      <c r="D23" s="494">
        <f t="shared" ref="D23:M23" si="4">D24+D25+D26</f>
        <v>144.5</v>
      </c>
      <c r="E23" s="495">
        <f t="shared" si="4"/>
        <v>0</v>
      </c>
      <c r="F23" s="495">
        <f t="shared" si="4"/>
        <v>0</v>
      </c>
      <c r="G23" s="495">
        <f t="shared" si="4"/>
        <v>0</v>
      </c>
      <c r="H23" s="495">
        <f t="shared" si="4"/>
        <v>0</v>
      </c>
      <c r="I23" s="495">
        <f t="shared" si="4"/>
        <v>0</v>
      </c>
      <c r="J23" s="495">
        <f t="shared" si="4"/>
        <v>0</v>
      </c>
      <c r="K23" s="495">
        <f t="shared" si="4"/>
        <v>144.5</v>
      </c>
      <c r="L23" s="495">
        <f t="shared" si="4"/>
        <v>144.5</v>
      </c>
      <c r="M23" s="496">
        <f t="shared" si="4"/>
        <v>0</v>
      </c>
      <c r="N23" s="511"/>
    </row>
    <row r="24" spans="1:14" x14ac:dyDescent="0.25">
      <c r="A24" s="512">
        <v>15</v>
      </c>
      <c r="B24" s="513" t="s">
        <v>526</v>
      </c>
      <c r="C24" s="499" t="s">
        <v>595</v>
      </c>
      <c r="D24" s="522"/>
      <c r="E24" s="514"/>
      <c r="F24" s="514"/>
      <c r="G24" s="514"/>
      <c r="H24" s="514"/>
      <c r="I24" s="514"/>
      <c r="J24" s="514"/>
      <c r="K24" s="502">
        <f>SUM(D24:J24)</f>
        <v>0</v>
      </c>
      <c r="L24" s="514">
        <f>K24</f>
        <v>0</v>
      </c>
      <c r="M24" s="516">
        <v>0</v>
      </c>
      <c r="N24" s="511"/>
    </row>
    <row r="25" spans="1:14" x14ac:dyDescent="0.25">
      <c r="A25" s="512">
        <v>16</v>
      </c>
      <c r="B25" s="517"/>
      <c r="C25" s="499" t="s">
        <v>593</v>
      </c>
      <c r="D25" s="1037">
        <f>144.5</f>
        <v>144.5</v>
      </c>
      <c r="E25" s="514"/>
      <c r="F25" s="514"/>
      <c r="G25" s="514"/>
      <c r="H25" s="514"/>
      <c r="I25" s="514"/>
      <c r="J25" s="514"/>
      <c r="K25" s="502">
        <f>SUM(D25:J25)</f>
        <v>144.5</v>
      </c>
      <c r="L25" s="514">
        <f>K25</f>
        <v>144.5</v>
      </c>
      <c r="M25" s="516">
        <v>0</v>
      </c>
      <c r="N25" s="511"/>
    </row>
    <row r="26" spans="1:14" x14ac:dyDescent="0.25">
      <c r="A26" s="518">
        <v>17</v>
      </c>
      <c r="B26" s="519"/>
      <c r="C26" s="520" t="s">
        <v>691</v>
      </c>
      <c r="D26" s="506"/>
      <c r="E26" s="507"/>
      <c r="F26" s="507"/>
      <c r="G26" s="507"/>
      <c r="H26" s="507"/>
      <c r="I26" s="507"/>
      <c r="J26" s="507"/>
      <c r="K26" s="521">
        <f>SUM(D26:J26)</f>
        <v>0</v>
      </c>
      <c r="L26" s="507">
        <f>K26</f>
        <v>0</v>
      </c>
      <c r="M26" s="509">
        <v>0</v>
      </c>
      <c r="N26" s="511"/>
    </row>
    <row r="27" spans="1:14" x14ac:dyDescent="0.25">
      <c r="A27" s="487">
        <v>18</v>
      </c>
      <c r="B27" s="1410" t="s">
        <v>596</v>
      </c>
      <c r="C27" s="1411"/>
      <c r="D27" s="523">
        <v>18122.900000000001</v>
      </c>
      <c r="E27" s="495">
        <f t="shared" ref="E27:J27" si="5">E28+E30</f>
        <v>0</v>
      </c>
      <c r="F27" s="495">
        <f t="shared" si="5"/>
        <v>0</v>
      </c>
      <c r="G27" s="495">
        <f t="shared" si="5"/>
        <v>0</v>
      </c>
      <c r="H27" s="495">
        <f t="shared" si="5"/>
        <v>0</v>
      </c>
      <c r="I27" s="495">
        <f t="shared" si="5"/>
        <v>0</v>
      </c>
      <c r="J27" s="495">
        <f t="shared" si="5"/>
        <v>0</v>
      </c>
      <c r="K27" s="495">
        <f>SUM(D27:J27)</f>
        <v>18122.900000000001</v>
      </c>
      <c r="L27" s="495">
        <f>K27</f>
        <v>18122.900000000001</v>
      </c>
      <c r="M27" s="496">
        <v>0</v>
      </c>
      <c r="N27" s="486"/>
    </row>
    <row r="28" spans="1:14" x14ac:dyDescent="0.25">
      <c r="A28" s="493">
        <v>19</v>
      </c>
      <c r="B28" s="1408" t="s">
        <v>702</v>
      </c>
      <c r="C28" s="1409"/>
      <c r="D28" s="524">
        <f>D29+D30</f>
        <v>14.25</v>
      </c>
      <c r="E28" s="525">
        <f>E29+E30</f>
        <v>0</v>
      </c>
      <c r="F28" s="525">
        <f t="shared" ref="F28:L28" si="6">F29+F30</f>
        <v>0</v>
      </c>
      <c r="G28" s="525">
        <f t="shared" si="6"/>
        <v>0</v>
      </c>
      <c r="H28" s="525">
        <f t="shared" si="6"/>
        <v>0</v>
      </c>
      <c r="I28" s="525">
        <f t="shared" si="6"/>
        <v>0</v>
      </c>
      <c r="J28" s="525">
        <f t="shared" si="6"/>
        <v>0</v>
      </c>
      <c r="K28" s="525">
        <f t="shared" si="6"/>
        <v>14.25</v>
      </c>
      <c r="L28" s="525">
        <f t="shared" si="6"/>
        <v>14.25</v>
      </c>
      <c r="M28" s="526">
        <f>M29+M30</f>
        <v>0</v>
      </c>
      <c r="N28" s="486"/>
    </row>
    <row r="29" spans="1:14" x14ac:dyDescent="0.25">
      <c r="A29" s="512">
        <v>20</v>
      </c>
      <c r="B29" s="527" t="s">
        <v>526</v>
      </c>
      <c r="C29" s="528" t="s">
        <v>746</v>
      </c>
      <c r="D29" s="771">
        <v>14.25</v>
      </c>
      <c r="E29" s="514"/>
      <c r="F29" s="514"/>
      <c r="G29" s="514"/>
      <c r="H29" s="514"/>
      <c r="I29" s="514"/>
      <c r="J29" s="514"/>
      <c r="K29" s="502">
        <f>SUM(D29:J29)</f>
        <v>14.25</v>
      </c>
      <c r="L29" s="514">
        <f>K29</f>
        <v>14.25</v>
      </c>
      <c r="M29" s="516">
        <v>0</v>
      </c>
      <c r="N29" s="486"/>
    </row>
    <row r="30" spans="1:14" ht="13.5" thickBot="1" x14ac:dyDescent="0.3">
      <c r="A30" s="529">
        <v>21</v>
      </c>
      <c r="B30" s="530"/>
      <c r="C30" s="531"/>
      <c r="D30" s="532"/>
      <c r="E30" s="533"/>
      <c r="F30" s="533"/>
      <c r="G30" s="533"/>
      <c r="H30" s="533"/>
      <c r="I30" s="533"/>
      <c r="J30" s="533"/>
      <c r="K30" s="534">
        <f>SUM(D30:J30)</f>
        <v>0</v>
      </c>
      <c r="L30" s="533">
        <f>K30</f>
        <v>0</v>
      </c>
      <c r="M30" s="535">
        <v>0</v>
      </c>
      <c r="N30" s="486"/>
    </row>
    <row r="31" spans="1:14" x14ac:dyDescent="0.25">
      <c r="A31" s="14"/>
      <c r="B31" s="14"/>
      <c r="C31" s="14"/>
      <c r="D31" s="14"/>
      <c r="E31" s="14"/>
      <c r="F31" s="14"/>
      <c r="G31" s="14"/>
      <c r="H31" s="14"/>
      <c r="I31" s="14"/>
      <c r="J31" s="14"/>
      <c r="K31" s="14"/>
      <c r="L31" s="14"/>
      <c r="M31" s="14"/>
      <c r="N31" s="14"/>
    </row>
    <row r="32" spans="1:14" x14ac:dyDescent="0.25">
      <c r="A32" s="14" t="s">
        <v>690</v>
      </c>
      <c r="B32" s="14"/>
      <c r="C32" s="14"/>
      <c r="D32" s="14"/>
      <c r="E32" s="14"/>
      <c r="F32" s="14"/>
      <c r="G32" s="14"/>
      <c r="H32" s="14"/>
      <c r="I32" s="14"/>
      <c r="J32" s="14"/>
      <c r="K32" s="14"/>
      <c r="L32" s="14"/>
      <c r="M32" s="14"/>
      <c r="N32" s="14"/>
    </row>
    <row r="33" spans="1:14" x14ac:dyDescent="0.25">
      <c r="A33" s="14" t="s">
        <v>989</v>
      </c>
      <c r="B33" s="21"/>
      <c r="C33" s="21"/>
      <c r="D33" s="14"/>
      <c r="E33" s="14"/>
      <c r="F33" s="14"/>
      <c r="G33" s="14"/>
      <c r="H33" s="14"/>
      <c r="I33" s="14"/>
      <c r="J33" s="14"/>
      <c r="K33" s="14"/>
      <c r="L33" s="14"/>
      <c r="M33" s="14"/>
      <c r="N33" s="14"/>
    </row>
    <row r="34" spans="1:14" x14ac:dyDescent="0.25">
      <c r="A34" s="14" t="s">
        <v>909</v>
      </c>
      <c r="B34" s="21"/>
      <c r="C34" s="21"/>
      <c r="D34" s="14"/>
      <c r="E34" s="14"/>
      <c r="F34" s="14"/>
      <c r="G34" s="14"/>
      <c r="H34" s="14"/>
      <c r="I34" s="14"/>
      <c r="J34" s="14"/>
      <c r="K34" s="14"/>
      <c r="L34" s="14"/>
      <c r="M34" s="14"/>
      <c r="N34" s="14"/>
    </row>
  </sheetData>
  <sheetProtection insertColumns="0" insertRows="0" deleteColumns="0" deleteRows="0"/>
  <mergeCells count="20">
    <mergeCell ref="B13:C13"/>
    <mergeCell ref="A6:A9"/>
    <mergeCell ref="B6:C9"/>
    <mergeCell ref="D6:K6"/>
    <mergeCell ref="L6:M6"/>
    <mergeCell ref="D7:D8"/>
    <mergeCell ref="E7:E8"/>
    <mergeCell ref="F7:J7"/>
    <mergeCell ref="K7:K8"/>
    <mergeCell ref="L7:L8"/>
    <mergeCell ref="M7:M8"/>
    <mergeCell ref="B11:C11"/>
    <mergeCell ref="B12:C12"/>
    <mergeCell ref="B28:C28"/>
    <mergeCell ref="B14:C14"/>
    <mergeCell ref="B15:C15"/>
    <mergeCell ref="B16:C16"/>
    <mergeCell ref="B19:C19"/>
    <mergeCell ref="B23:C23"/>
    <mergeCell ref="B27:C27"/>
  </mergeCells>
  <printOptions horizontalCentered="1"/>
  <pageMargins left="0.39370078740157483" right="0.39370078740157483" top="0.59055118110236227" bottom="0.39370078740157483" header="0.23622047244094491" footer="0.51181102362204722"/>
  <pageSetup paperSize="9" scale="53"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8"/>
  <sheetViews>
    <sheetView workbookViewId="0"/>
  </sheetViews>
  <sheetFormatPr defaultRowHeight="12.75" x14ac:dyDescent="0.25"/>
  <cols>
    <col min="1" max="1" width="3.42578125" style="15" customWidth="1"/>
    <col min="2" max="2" width="15.42578125" style="15" customWidth="1"/>
    <col min="3" max="4" width="10.7109375" style="15" customWidth="1"/>
    <col min="5" max="5" width="11.42578125" style="15" customWidth="1"/>
    <col min="6" max="6" width="12.140625" style="15" customWidth="1"/>
    <col min="7" max="14" width="10.7109375" style="15" customWidth="1"/>
    <col min="15" max="15" width="11.85546875" style="15" customWidth="1"/>
    <col min="16" max="16384" width="9.140625" style="15"/>
  </cols>
  <sheetData>
    <row r="1" spans="1:15" ht="18" customHeight="1" x14ac:dyDescent="0.25">
      <c r="A1" s="19" t="s">
        <v>900</v>
      </c>
      <c r="B1" s="14"/>
      <c r="C1" s="14"/>
      <c r="D1" s="14"/>
      <c r="E1" s="14"/>
      <c r="F1" s="14"/>
      <c r="G1" s="14"/>
      <c r="H1" s="14"/>
      <c r="I1" s="14"/>
      <c r="J1" s="14"/>
      <c r="K1" s="14"/>
      <c r="L1" s="14"/>
    </row>
    <row r="2" spans="1:15" ht="18" customHeight="1" x14ac:dyDescent="0.25">
      <c r="A2" s="19"/>
      <c r="B2" s="14"/>
      <c r="C2" s="14"/>
      <c r="D2" s="14"/>
      <c r="E2" s="14"/>
      <c r="F2" s="14"/>
      <c r="G2" s="14"/>
      <c r="H2" s="14"/>
      <c r="I2" s="14"/>
      <c r="J2" s="14"/>
      <c r="K2" s="14"/>
      <c r="L2" s="14"/>
    </row>
    <row r="3" spans="1:15" ht="18" customHeight="1" x14ac:dyDescent="0.25">
      <c r="A3" s="56" t="s">
        <v>901</v>
      </c>
      <c r="B3" s="14"/>
      <c r="C3" s="14"/>
      <c r="D3" s="14"/>
      <c r="E3" s="14"/>
      <c r="F3" s="14"/>
      <c r="G3" s="14"/>
      <c r="H3" s="14"/>
      <c r="I3" s="14"/>
      <c r="J3" s="14"/>
      <c r="K3" s="14"/>
      <c r="L3" s="14"/>
    </row>
    <row r="4" spans="1:15" ht="12.75" customHeight="1" thickBot="1" x14ac:dyDescent="0.3">
      <c r="A4" s="14"/>
      <c r="B4" s="14"/>
      <c r="C4" s="14"/>
      <c r="D4" s="14"/>
      <c r="E4" s="14"/>
      <c r="F4" s="14"/>
      <c r="G4" s="14"/>
      <c r="H4" s="14"/>
      <c r="I4" s="14"/>
      <c r="J4" s="14"/>
      <c r="K4" s="20"/>
      <c r="L4" s="14"/>
      <c r="M4" s="20" t="s">
        <v>597</v>
      </c>
    </row>
    <row r="5" spans="1:15" ht="16.5" customHeight="1" x14ac:dyDescent="0.25">
      <c r="A5" s="1460" t="s">
        <v>497</v>
      </c>
      <c r="B5" s="1452" t="s">
        <v>670</v>
      </c>
      <c r="C5" s="1388" t="s">
        <v>445</v>
      </c>
      <c r="D5" s="1390"/>
      <c r="E5" s="1455" t="s">
        <v>598</v>
      </c>
      <c r="F5" s="1426"/>
      <c r="G5" s="1426"/>
      <c r="H5" s="1426"/>
      <c r="I5" s="1426"/>
      <c r="J5" s="1426"/>
      <c r="K5" s="1426"/>
      <c r="L5" s="1456"/>
      <c r="M5" s="1388" t="s">
        <v>665</v>
      </c>
      <c r="N5" s="1390"/>
    </row>
    <row r="6" spans="1:15" ht="17.25" customHeight="1" x14ac:dyDescent="0.25">
      <c r="A6" s="1461"/>
      <c r="B6" s="1453"/>
      <c r="C6" s="1450" t="s">
        <v>599</v>
      </c>
      <c r="D6" s="1448" t="s">
        <v>600</v>
      </c>
      <c r="E6" s="1457" t="s">
        <v>599</v>
      </c>
      <c r="F6" s="1458"/>
      <c r="G6" s="1458"/>
      <c r="H6" s="1458"/>
      <c r="I6" s="1459"/>
      <c r="J6" s="1463" t="s">
        <v>600</v>
      </c>
      <c r="K6" s="1463"/>
      <c r="L6" s="1464"/>
      <c r="M6" s="1450" t="s">
        <v>599</v>
      </c>
      <c r="N6" s="1448" t="s">
        <v>600</v>
      </c>
    </row>
    <row r="7" spans="1:15" ht="27.75" customHeight="1" x14ac:dyDescent="0.25">
      <c r="A7" s="1461"/>
      <c r="B7" s="1454"/>
      <c r="C7" s="1451"/>
      <c r="D7" s="1449"/>
      <c r="E7" s="94" t="s">
        <v>601</v>
      </c>
      <c r="F7" s="95" t="s">
        <v>956</v>
      </c>
      <c r="G7" s="96" t="s">
        <v>957</v>
      </c>
      <c r="H7" s="95" t="s">
        <v>604</v>
      </c>
      <c r="I7" s="95" t="s">
        <v>536</v>
      </c>
      <c r="J7" s="95" t="s">
        <v>602</v>
      </c>
      <c r="K7" s="95" t="s">
        <v>500</v>
      </c>
      <c r="L7" s="97" t="s">
        <v>536</v>
      </c>
      <c r="M7" s="1451"/>
      <c r="N7" s="1449"/>
    </row>
    <row r="8" spans="1:15" s="16" customFormat="1" ht="13.5" customHeight="1" thickBot="1" x14ac:dyDescent="0.3">
      <c r="A8" s="1462"/>
      <c r="B8" s="89" t="s">
        <v>577</v>
      </c>
      <c r="C8" s="90" t="s">
        <v>578</v>
      </c>
      <c r="D8" s="89" t="s">
        <v>579</v>
      </c>
      <c r="E8" s="90" t="s">
        <v>580</v>
      </c>
      <c r="F8" s="91" t="s">
        <v>581</v>
      </c>
      <c r="G8" s="92" t="s">
        <v>582</v>
      </c>
      <c r="H8" s="92" t="s">
        <v>583</v>
      </c>
      <c r="I8" s="91" t="s">
        <v>584</v>
      </c>
      <c r="J8" s="91" t="s">
        <v>585</v>
      </c>
      <c r="K8" s="91" t="s">
        <v>586</v>
      </c>
      <c r="L8" s="93" t="s">
        <v>629</v>
      </c>
      <c r="M8" s="90" t="s">
        <v>666</v>
      </c>
      <c r="N8" s="89" t="s">
        <v>667</v>
      </c>
    </row>
    <row r="9" spans="1:15" ht="13.5" customHeight="1" x14ac:dyDescent="0.25">
      <c r="A9" s="536">
        <v>1</v>
      </c>
      <c r="B9" s="537" t="s">
        <v>747</v>
      </c>
      <c r="C9" s="538">
        <v>4378.1912299999995</v>
      </c>
      <c r="D9" s="539">
        <v>1507.951</v>
      </c>
      <c r="E9" s="538">
        <f>1962.44362+0.2</f>
        <v>1962.6436200000001</v>
      </c>
      <c r="F9" s="540">
        <v>385.22787000000005</v>
      </c>
      <c r="G9" s="1143">
        <v>4.9139999999999997</v>
      </c>
      <c r="H9" s="1144">
        <v>1262.2838000000002</v>
      </c>
      <c r="I9" s="540">
        <f>+E9+F9+G9+H9</f>
        <v>3615.0692900000004</v>
      </c>
      <c r="J9" s="540">
        <v>0</v>
      </c>
      <c r="K9" s="540">
        <v>1210.52153</v>
      </c>
      <c r="L9" s="541">
        <f>J9+K9</f>
        <v>1210.52153</v>
      </c>
      <c r="M9" s="538">
        <f>I9-C9</f>
        <v>-763.12193999999909</v>
      </c>
      <c r="N9" s="539">
        <f>L9-D9</f>
        <v>-297.42947000000004</v>
      </c>
    </row>
    <row r="10" spans="1:15" ht="13.5" customHeight="1" x14ac:dyDescent="0.25">
      <c r="A10" s="88">
        <f>A9+1</f>
        <v>2</v>
      </c>
      <c r="B10" s="542" t="s">
        <v>763</v>
      </c>
      <c r="C10" s="543">
        <v>41.716200000000001</v>
      </c>
      <c r="D10" s="544">
        <v>0</v>
      </c>
      <c r="E10" s="543">
        <v>0</v>
      </c>
      <c r="F10" s="449">
        <v>0</v>
      </c>
      <c r="G10" s="448">
        <v>0</v>
      </c>
      <c r="H10" s="448">
        <v>41.716200000000001</v>
      </c>
      <c r="I10" s="449">
        <f>+E10+F10+G10+H10</f>
        <v>41.716200000000001</v>
      </c>
      <c r="J10" s="449">
        <v>0</v>
      </c>
      <c r="K10" s="449">
        <v>0</v>
      </c>
      <c r="L10" s="541">
        <f>J10+K10</f>
        <v>0</v>
      </c>
      <c r="M10" s="538">
        <f>I10-C10</f>
        <v>0</v>
      </c>
      <c r="N10" s="539">
        <f>L10-D10</f>
        <v>0</v>
      </c>
    </row>
    <row r="11" spans="1:15" ht="13.5" customHeight="1" x14ac:dyDescent="0.25">
      <c r="A11" s="88">
        <f>A10+1</f>
        <v>3</v>
      </c>
      <c r="B11" s="542"/>
      <c r="C11" s="543"/>
      <c r="D11" s="544"/>
      <c r="E11" s="543"/>
      <c r="F11" s="449"/>
      <c r="G11" s="448"/>
      <c r="H11" s="448"/>
      <c r="I11" s="449">
        <f>+E11+F11+G11+H11</f>
        <v>0</v>
      </c>
      <c r="J11" s="449"/>
      <c r="K11" s="449"/>
      <c r="L11" s="541">
        <f>J11+K11</f>
        <v>0</v>
      </c>
      <c r="M11" s="538">
        <f>I11-C11</f>
        <v>0</v>
      </c>
      <c r="N11" s="539">
        <f>L11-D11</f>
        <v>0</v>
      </c>
    </row>
    <row r="12" spans="1:15" ht="13.5" customHeight="1" x14ac:dyDescent="0.25">
      <c r="A12" s="88">
        <f>A11+1</f>
        <v>4</v>
      </c>
      <c r="B12" s="542"/>
      <c r="C12" s="543"/>
      <c r="D12" s="544"/>
      <c r="E12" s="543"/>
      <c r="F12" s="449"/>
      <c r="G12" s="448"/>
      <c r="H12" s="448"/>
      <c r="I12" s="449">
        <f>+E12+F12+G12+H12</f>
        <v>0</v>
      </c>
      <c r="J12" s="449"/>
      <c r="K12" s="449"/>
      <c r="L12" s="541">
        <f>J12+K12</f>
        <v>0</v>
      </c>
      <c r="M12" s="538">
        <f>I12-C12</f>
        <v>0</v>
      </c>
      <c r="N12" s="539">
        <f>L12-D12</f>
        <v>0</v>
      </c>
    </row>
    <row r="13" spans="1:15" ht="13.5" customHeight="1" thickBot="1" x14ac:dyDescent="0.3">
      <c r="A13" s="545">
        <f>A12+1</f>
        <v>5</v>
      </c>
      <c r="B13" s="546"/>
      <c r="C13" s="547"/>
      <c r="D13" s="548"/>
      <c r="E13" s="547"/>
      <c r="F13" s="451"/>
      <c r="G13" s="549"/>
      <c r="H13" s="549"/>
      <c r="I13" s="451">
        <f>+E13+F13+G13+H13</f>
        <v>0</v>
      </c>
      <c r="J13" s="451"/>
      <c r="K13" s="451"/>
      <c r="L13" s="541">
        <f>J13+K13</f>
        <v>0</v>
      </c>
      <c r="M13" s="538">
        <f>I13-C13</f>
        <v>0</v>
      </c>
      <c r="N13" s="539">
        <f>L13-D13</f>
        <v>0</v>
      </c>
    </row>
    <row r="14" spans="1:15" ht="12.75" customHeight="1" thickBot="1" x14ac:dyDescent="0.3">
      <c r="A14" s="550">
        <f>A13+1</f>
        <v>6</v>
      </c>
      <c r="B14" s="551" t="s">
        <v>522</v>
      </c>
      <c r="C14" s="552">
        <f>SUM(C9:C13)</f>
        <v>4419.9074299999993</v>
      </c>
      <c r="D14" s="553">
        <f t="shared" ref="D14:K14" si="0">SUM(D9:D13)</f>
        <v>1507.951</v>
      </c>
      <c r="E14" s="552">
        <f t="shared" si="0"/>
        <v>1962.6436200000001</v>
      </c>
      <c r="F14" s="554">
        <f t="shared" si="0"/>
        <v>385.22787000000005</v>
      </c>
      <c r="G14" s="554">
        <f t="shared" si="0"/>
        <v>4.9139999999999997</v>
      </c>
      <c r="H14" s="554">
        <f t="shared" si="0"/>
        <v>1304.0000000000002</v>
      </c>
      <c r="I14" s="554">
        <f>SUM(I9:I13)</f>
        <v>3656.7854900000002</v>
      </c>
      <c r="J14" s="554">
        <f t="shared" si="0"/>
        <v>0</v>
      </c>
      <c r="K14" s="554">
        <f t="shared" si="0"/>
        <v>1210.52153</v>
      </c>
      <c r="L14" s="554">
        <f>SUM(L9:L13)</f>
        <v>1210.52153</v>
      </c>
      <c r="M14" s="552">
        <f>SUM(M9:M13)</f>
        <v>-763.12193999999909</v>
      </c>
      <c r="N14" s="555">
        <f>SUM(N9:N13)</f>
        <v>-297.42947000000004</v>
      </c>
      <c r="O14" s="556"/>
    </row>
    <row r="15" spans="1:15" ht="13.5" customHeight="1" x14ac:dyDescent="0.25">
      <c r="A15" s="14"/>
      <c r="B15" s="14"/>
      <c r="C15" s="14"/>
      <c r="D15" s="14"/>
      <c r="E15" s="14"/>
      <c r="F15" s="14"/>
      <c r="G15" s="14"/>
      <c r="H15" s="14"/>
      <c r="I15" s="14"/>
      <c r="J15" s="14"/>
      <c r="K15" s="14"/>
      <c r="L15" s="14"/>
    </row>
    <row r="16" spans="1:15" ht="13.5" customHeight="1" x14ac:dyDescent="0.25">
      <c r="A16" s="9" t="s">
        <v>657</v>
      </c>
      <c r="B16" s="14"/>
      <c r="C16" s="14"/>
      <c r="D16" s="14"/>
      <c r="E16" s="14"/>
      <c r="F16" s="14"/>
      <c r="G16" s="14"/>
      <c r="H16" s="14"/>
      <c r="I16" s="14"/>
      <c r="J16" s="14"/>
      <c r="K16" s="14"/>
      <c r="L16" s="14"/>
    </row>
    <row r="17" spans="1:15" ht="13.5" customHeight="1" x14ac:dyDescent="0.25">
      <c r="A17" s="9" t="s">
        <v>669</v>
      </c>
      <c r="B17" s="14"/>
      <c r="C17" s="14"/>
      <c r="D17" s="14"/>
      <c r="E17" s="14"/>
      <c r="F17" s="14"/>
      <c r="G17" s="14"/>
      <c r="H17" s="14"/>
      <c r="I17" s="14"/>
      <c r="J17" s="14"/>
      <c r="K17" s="14"/>
      <c r="L17" s="14"/>
    </row>
    <row r="18" spans="1:15" ht="13.5" customHeight="1" x14ac:dyDescent="0.25">
      <c r="A18" s="14" t="s">
        <v>959</v>
      </c>
      <c r="B18" s="14"/>
      <c r="C18" s="14"/>
      <c r="D18" s="14"/>
      <c r="E18" s="14"/>
      <c r="F18" s="14"/>
      <c r="G18" s="14"/>
      <c r="H18" s="14"/>
      <c r="I18" s="14"/>
      <c r="J18" s="14"/>
      <c r="K18" s="14"/>
      <c r="L18" s="14"/>
    </row>
    <row r="19" spans="1:15" ht="13.5" customHeight="1" x14ac:dyDescent="0.25">
      <c r="A19" s="14" t="s">
        <v>960</v>
      </c>
      <c r="B19" s="66"/>
      <c r="C19" s="66"/>
      <c r="D19" s="66"/>
      <c r="E19" s="66"/>
      <c r="F19" s="66"/>
      <c r="G19" s="66"/>
      <c r="H19" s="66"/>
      <c r="I19" s="66"/>
      <c r="J19" s="66"/>
      <c r="K19" s="66"/>
      <c r="L19" s="66"/>
    </row>
    <row r="20" spans="1:15" ht="13.5" customHeight="1" x14ac:dyDescent="0.25">
      <c r="A20" s="21"/>
      <c r="B20" s="17"/>
      <c r="C20" s="17"/>
      <c r="D20" s="17"/>
      <c r="E20" s="17"/>
      <c r="F20" s="17"/>
      <c r="G20" s="17"/>
      <c r="H20" s="17"/>
      <c r="I20" s="17"/>
      <c r="J20" s="17"/>
      <c r="K20" s="17"/>
      <c r="L20" s="17"/>
      <c r="N20" s="18"/>
    </row>
    <row r="21" spans="1:15" s="4" customFormat="1" ht="18" customHeight="1" x14ac:dyDescent="0.25">
      <c r="A21" s="56" t="s">
        <v>902</v>
      </c>
      <c r="B21" s="9"/>
      <c r="C21" s="9"/>
      <c r="D21" s="9"/>
      <c r="E21" s="9"/>
      <c r="F21" s="9"/>
      <c r="G21" s="9"/>
      <c r="H21" s="9"/>
      <c r="I21" s="9"/>
      <c r="J21" s="9"/>
      <c r="K21" s="9"/>
      <c r="L21" s="3"/>
    </row>
    <row r="22" spans="1:15" s="4" customFormat="1" ht="13.5" customHeight="1" thickBot="1" x14ac:dyDescent="0.3">
      <c r="A22" s="9"/>
      <c r="B22" s="9"/>
      <c r="C22" s="9"/>
      <c r="D22" s="9"/>
      <c r="E22" s="9"/>
      <c r="F22" s="9"/>
      <c r="G22" s="9"/>
      <c r="H22" s="9"/>
      <c r="I22" s="9"/>
      <c r="J22" s="9"/>
      <c r="L22" s="3"/>
      <c r="M22" s="20" t="s">
        <v>597</v>
      </c>
    </row>
    <row r="23" spans="1:15" s="4" customFormat="1" ht="19.5" customHeight="1" x14ac:dyDescent="0.25">
      <c r="A23" s="1460" t="s">
        <v>497</v>
      </c>
      <c r="B23" s="1439" t="s">
        <v>668</v>
      </c>
      <c r="C23" s="1388" t="s">
        <v>445</v>
      </c>
      <c r="D23" s="1390"/>
      <c r="E23" s="1442" t="s">
        <v>598</v>
      </c>
      <c r="F23" s="1443"/>
      <c r="G23" s="1443"/>
      <c r="H23" s="1443"/>
      <c r="I23" s="1443"/>
      <c r="J23" s="1443"/>
      <c r="K23" s="1443"/>
      <c r="L23" s="1444"/>
      <c r="M23" s="1388" t="s">
        <v>665</v>
      </c>
      <c r="N23" s="1390"/>
    </row>
    <row r="24" spans="1:15" s="4" customFormat="1" ht="19.5" customHeight="1" x14ac:dyDescent="0.25">
      <c r="A24" s="1461"/>
      <c r="B24" s="1440"/>
      <c r="C24" s="1450" t="s">
        <v>599</v>
      </c>
      <c r="D24" s="1448" t="s">
        <v>600</v>
      </c>
      <c r="E24" s="1445" t="s">
        <v>599</v>
      </c>
      <c r="F24" s="1446"/>
      <c r="G24" s="1446"/>
      <c r="H24" s="1446"/>
      <c r="I24" s="1446"/>
      <c r="J24" s="1447" t="s">
        <v>600</v>
      </c>
      <c r="K24" s="1447"/>
      <c r="L24" s="1447"/>
      <c r="M24" s="1450" t="s">
        <v>599</v>
      </c>
      <c r="N24" s="1448" t="s">
        <v>600</v>
      </c>
    </row>
    <row r="25" spans="1:15" s="4" customFormat="1" ht="31.5" customHeight="1" x14ac:dyDescent="0.25">
      <c r="A25" s="1461"/>
      <c r="B25" s="1441"/>
      <c r="C25" s="1451"/>
      <c r="D25" s="1449"/>
      <c r="E25" s="85" t="s">
        <v>601</v>
      </c>
      <c r="F25" s="95" t="s">
        <v>956</v>
      </c>
      <c r="G25" s="96" t="s">
        <v>957</v>
      </c>
      <c r="H25" s="95" t="s">
        <v>604</v>
      </c>
      <c r="I25" s="71" t="s">
        <v>536</v>
      </c>
      <c r="J25" s="71" t="s">
        <v>603</v>
      </c>
      <c r="K25" s="71" t="s">
        <v>500</v>
      </c>
      <c r="L25" s="100" t="s">
        <v>536</v>
      </c>
      <c r="M25" s="1451"/>
      <c r="N25" s="1449"/>
    </row>
    <row r="26" spans="1:15" s="5" customFormat="1" ht="13.5" customHeight="1" thickBot="1" x14ac:dyDescent="0.3">
      <c r="A26" s="1462"/>
      <c r="B26" s="98" t="s">
        <v>577</v>
      </c>
      <c r="C26" s="90" t="s">
        <v>578</v>
      </c>
      <c r="D26" s="89" t="s">
        <v>579</v>
      </c>
      <c r="E26" s="84" t="s">
        <v>580</v>
      </c>
      <c r="F26" s="63" t="s">
        <v>581</v>
      </c>
      <c r="G26" s="99" t="s">
        <v>582</v>
      </c>
      <c r="H26" s="99" t="s">
        <v>583</v>
      </c>
      <c r="I26" s="63" t="s">
        <v>584</v>
      </c>
      <c r="J26" s="63" t="s">
        <v>585</v>
      </c>
      <c r="K26" s="63" t="s">
        <v>586</v>
      </c>
      <c r="L26" s="64" t="s">
        <v>629</v>
      </c>
      <c r="M26" s="90" t="s">
        <v>666</v>
      </c>
      <c r="N26" s="89" t="s">
        <v>667</v>
      </c>
    </row>
    <row r="27" spans="1:15" s="4" customFormat="1" ht="13.5" customHeight="1" x14ac:dyDescent="0.25">
      <c r="A27" s="536">
        <v>1</v>
      </c>
      <c r="B27" s="537" t="s">
        <v>763</v>
      </c>
      <c r="C27" s="538">
        <v>0</v>
      </c>
      <c r="D27" s="539">
        <v>8279.2536400000008</v>
      </c>
      <c r="E27" s="538">
        <v>0</v>
      </c>
      <c r="F27" s="540">
        <v>0</v>
      </c>
      <c r="G27" s="1144">
        <v>0</v>
      </c>
      <c r="H27" s="1144">
        <v>0</v>
      </c>
      <c r="I27" s="540">
        <f>+E27+F27+G27+H27</f>
        <v>0</v>
      </c>
      <c r="J27" s="540">
        <v>7768.3865500000002</v>
      </c>
      <c r="K27" s="540">
        <f>8341.84713-J27-0.5</f>
        <v>572.96057999999994</v>
      </c>
      <c r="L27" s="541">
        <f>J27+K27</f>
        <v>8341.3471300000001</v>
      </c>
      <c r="M27" s="538">
        <f>I27-C27</f>
        <v>0</v>
      </c>
      <c r="N27" s="539">
        <f>L27-D27</f>
        <v>62.093489999999292</v>
      </c>
    </row>
    <row r="28" spans="1:15" s="4" customFormat="1" ht="13.5" customHeight="1" thickBot="1" x14ac:dyDescent="0.3">
      <c r="A28" s="88">
        <f>A27+1</f>
        <v>2</v>
      </c>
      <c r="B28" s="86"/>
      <c r="C28" s="543"/>
      <c r="D28" s="544"/>
      <c r="E28" s="765"/>
      <c r="F28" s="62"/>
      <c r="G28" s="70"/>
      <c r="H28" s="70"/>
      <c r="I28" s="62">
        <f>+E28+F28+G28+H28</f>
        <v>0</v>
      </c>
      <c r="J28" s="62"/>
      <c r="K28" s="62"/>
      <c r="L28" s="766">
        <f>J28+K28</f>
        <v>0</v>
      </c>
      <c r="M28" s="538">
        <f>I28-C28</f>
        <v>0</v>
      </c>
      <c r="N28" s="539">
        <f>L28-D28</f>
        <v>0</v>
      </c>
    </row>
    <row r="29" spans="1:15" s="4" customFormat="1" ht="12.75" customHeight="1" thickBot="1" x14ac:dyDescent="0.3">
      <c r="A29" s="88">
        <f>A28+1</f>
        <v>3</v>
      </c>
      <c r="B29" s="87" t="s">
        <v>522</v>
      </c>
      <c r="C29" s="552">
        <f t="shared" ref="C29:N29" si="1">SUM(C27:C28)</f>
        <v>0</v>
      </c>
      <c r="D29" s="553">
        <f t="shared" si="1"/>
        <v>8279.2536400000008</v>
      </c>
      <c r="E29" s="767">
        <f t="shared" si="1"/>
        <v>0</v>
      </c>
      <c r="F29" s="768">
        <f t="shared" si="1"/>
        <v>0</v>
      </c>
      <c r="G29" s="768">
        <f t="shared" si="1"/>
        <v>0</v>
      </c>
      <c r="H29" s="768">
        <f t="shared" si="1"/>
        <v>0</v>
      </c>
      <c r="I29" s="768">
        <f t="shared" si="1"/>
        <v>0</v>
      </c>
      <c r="J29" s="768">
        <f t="shared" si="1"/>
        <v>7768.3865500000002</v>
      </c>
      <c r="K29" s="768">
        <f t="shared" si="1"/>
        <v>572.96057999999994</v>
      </c>
      <c r="L29" s="768">
        <f t="shared" si="1"/>
        <v>8341.3471300000001</v>
      </c>
      <c r="M29" s="552">
        <f t="shared" si="1"/>
        <v>0</v>
      </c>
      <c r="N29" s="555">
        <f t="shared" si="1"/>
        <v>62.093489999999292</v>
      </c>
      <c r="O29" s="556"/>
    </row>
    <row r="30" spans="1:15" s="4" customFormat="1" x14ac:dyDescent="0.25">
      <c r="A30" s="9"/>
      <c r="B30" s="9"/>
      <c r="C30" s="9"/>
      <c r="D30" s="9"/>
      <c r="E30" s="9"/>
      <c r="F30" s="9"/>
      <c r="G30" s="9"/>
      <c r="H30" s="9"/>
      <c r="I30" s="9"/>
      <c r="J30" s="9"/>
      <c r="K30" s="9"/>
      <c r="L30" s="3"/>
    </row>
    <row r="31" spans="1:15" s="4" customFormat="1" x14ac:dyDescent="0.25">
      <c r="A31" s="9" t="s">
        <v>657</v>
      </c>
      <c r="B31" s="9"/>
      <c r="C31" s="9"/>
      <c r="D31" s="9"/>
      <c r="E31" s="9"/>
      <c r="F31" s="9"/>
      <c r="G31" s="9"/>
      <c r="H31" s="9"/>
      <c r="I31" s="9"/>
      <c r="J31" s="9"/>
      <c r="K31" s="9"/>
      <c r="L31" s="3"/>
    </row>
    <row r="32" spans="1:15" s="4" customFormat="1" x14ac:dyDescent="0.25">
      <c r="A32" s="9" t="s">
        <v>669</v>
      </c>
      <c r="B32" s="9"/>
      <c r="C32" s="9"/>
      <c r="D32" s="9"/>
      <c r="E32" s="9"/>
      <c r="F32" s="9"/>
      <c r="G32" s="9"/>
      <c r="H32" s="9"/>
      <c r="I32" s="9"/>
      <c r="J32" s="9"/>
      <c r="K32" s="9"/>
      <c r="L32" s="3"/>
    </row>
    <row r="33" spans="1:14" s="4" customFormat="1" x14ac:dyDescent="0.25">
      <c r="A33" s="14" t="s">
        <v>959</v>
      </c>
      <c r="B33" s="9"/>
      <c r="C33" s="9"/>
      <c r="D33" s="9"/>
      <c r="E33" s="9"/>
      <c r="F33" s="9"/>
      <c r="G33" s="9"/>
      <c r="H33" s="9"/>
      <c r="I33" s="9"/>
      <c r="J33" s="9"/>
      <c r="K33" s="9"/>
      <c r="L33" s="3"/>
    </row>
    <row r="34" spans="1:14" s="4" customFormat="1" x14ac:dyDescent="0.25">
      <c r="A34" s="14" t="s">
        <v>958</v>
      </c>
      <c r="B34" s="9"/>
      <c r="C34" s="9"/>
      <c r="D34" s="9"/>
      <c r="E34" s="9"/>
      <c r="F34" s="9"/>
      <c r="G34" s="9"/>
      <c r="H34" s="9"/>
      <c r="I34" s="9"/>
      <c r="J34" s="9"/>
      <c r="K34" s="9"/>
      <c r="L34" s="3"/>
    </row>
    <row r="35" spans="1:14" s="4" customFormat="1" x14ac:dyDescent="0.25">
      <c r="A35" s="9"/>
      <c r="B35" s="9"/>
      <c r="C35" s="9"/>
      <c r="D35" s="9"/>
      <c r="E35" s="9"/>
      <c r="F35" s="9"/>
      <c r="G35" s="9"/>
      <c r="H35" s="9"/>
      <c r="I35" s="9"/>
      <c r="J35" s="9"/>
      <c r="K35" s="9"/>
      <c r="L35" s="3"/>
    </row>
    <row r="36" spans="1:14" s="4" customFormat="1" x14ac:dyDescent="0.25">
      <c r="A36" s="36" t="s">
        <v>704</v>
      </c>
      <c r="B36" s="12"/>
      <c r="C36" s="12"/>
      <c r="D36" s="12"/>
      <c r="E36" s="12"/>
      <c r="F36" s="12"/>
      <c r="G36" s="12"/>
      <c r="H36" s="12"/>
      <c r="I36" s="12"/>
      <c r="J36" s="12"/>
      <c r="K36" s="12"/>
      <c r="L36" s="6"/>
      <c r="N36" s="7"/>
    </row>
    <row r="37" spans="1:14" s="4" customFormat="1" ht="27" customHeight="1" x14ac:dyDescent="0.25">
      <c r="A37" s="1438" t="s">
        <v>910</v>
      </c>
      <c r="B37" s="1438"/>
      <c r="C37" s="1438"/>
      <c r="D37" s="1438"/>
      <c r="E37" s="1438"/>
      <c r="F37" s="1438"/>
      <c r="G37" s="1438"/>
      <c r="H37" s="1438"/>
      <c r="I37" s="1438"/>
      <c r="J37" s="1438"/>
      <c r="K37" s="1438"/>
      <c r="L37" s="1438"/>
      <c r="M37" s="1438"/>
      <c r="N37" s="7"/>
    </row>
    <row r="38" spans="1:14" s="4" customFormat="1" ht="27.75" customHeight="1" x14ac:dyDescent="0.25">
      <c r="A38" s="1438" t="s">
        <v>911</v>
      </c>
      <c r="B38" s="1438"/>
      <c r="C38" s="1438"/>
      <c r="D38" s="1438"/>
      <c r="E38" s="1438"/>
      <c r="F38" s="1438"/>
      <c r="G38" s="1438"/>
      <c r="H38" s="1438"/>
      <c r="I38" s="1438"/>
      <c r="J38" s="1438"/>
      <c r="K38" s="1438"/>
      <c r="L38" s="1438"/>
      <c r="M38" s="1438"/>
      <c r="N38" s="7"/>
    </row>
  </sheetData>
  <sheetProtection insertRows="0" deleteRows="0"/>
  <customSheetViews>
    <customSheetView guid="{2AF6EA2A-E5C5-45EB-B6C4-875AD1E4E056}" fitToPage="1">
      <selection activeCell="A2" sqref="A2"/>
      <pageMargins left="0.19685039370078741" right="0.19685039370078741" top="0.98425196850393704" bottom="0.98425196850393704" header="0.51181102362204722" footer="0.51181102362204722"/>
      <printOptions horizontalCentered="1"/>
      <pageSetup paperSize="9" scale="76" orientation="landscape" cellComments="asDisplayed" horizontalDpi="300" verticalDpi="300" r:id="rId1"/>
      <headerFooter alignWithMargins="0"/>
    </customSheetView>
  </customSheetViews>
  <mergeCells count="24">
    <mergeCell ref="A5:A8"/>
    <mergeCell ref="A23:A26"/>
    <mergeCell ref="J6:L6"/>
    <mergeCell ref="C6:C7"/>
    <mergeCell ref="C5:D5"/>
    <mergeCell ref="N6:N7"/>
    <mergeCell ref="B5:B7"/>
    <mergeCell ref="E5:L5"/>
    <mergeCell ref="E6:I6"/>
    <mergeCell ref="M5:N5"/>
    <mergeCell ref="M6:M7"/>
    <mergeCell ref="D6:D7"/>
    <mergeCell ref="A38:M38"/>
    <mergeCell ref="B23:B25"/>
    <mergeCell ref="C23:D23"/>
    <mergeCell ref="E23:L23"/>
    <mergeCell ref="M23:N23"/>
    <mergeCell ref="E24:I24"/>
    <mergeCell ref="J24:L24"/>
    <mergeCell ref="A37:M37"/>
    <mergeCell ref="N24:N25"/>
    <mergeCell ref="C24:C25"/>
    <mergeCell ref="M24:M25"/>
    <mergeCell ref="D24:D25"/>
  </mergeCells>
  <phoneticPr fontId="40" type="noConversion"/>
  <printOptions horizontalCentered="1"/>
  <pageMargins left="0.19685039370078741" right="0.19685039370078741" top="0.98425196850393704" bottom="0.98425196850393704" header="0.51181102362204722" footer="0.51181102362204722"/>
  <pageSetup paperSize="9" scale="69" orientation="landscape" cellComments="asDisplayed" horizontalDpi="300" verticalDpi="300" r:id="rId2"/>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7"/>
  <sheetViews>
    <sheetView workbookViewId="0">
      <selection activeCell="K15" sqref="K15"/>
    </sheetView>
  </sheetViews>
  <sheetFormatPr defaultRowHeight="12.75" x14ac:dyDescent="0.25"/>
  <cols>
    <col min="1" max="1" width="3.5703125" style="15" customWidth="1"/>
    <col min="2" max="2" width="6.28515625" style="15" customWidth="1"/>
    <col min="3" max="3" width="10.5703125" style="592" customWidth="1"/>
    <col min="4" max="5" width="12.28515625" style="592" customWidth="1"/>
    <col min="6" max="6" width="6.140625" style="592" customWidth="1"/>
    <col min="7" max="7" width="8.42578125" style="592" customWidth="1"/>
    <col min="8" max="11" width="9.7109375" style="592" customWidth="1"/>
    <col min="12" max="13" width="9.7109375" style="15" customWidth="1"/>
    <col min="14" max="16384" width="9.140625" style="15"/>
  </cols>
  <sheetData>
    <row r="1" spans="1:13" ht="15.75" x14ac:dyDescent="0.25">
      <c r="A1" s="19" t="s">
        <v>1333</v>
      </c>
      <c r="B1" s="14"/>
      <c r="C1" s="557"/>
      <c r="D1" s="557"/>
      <c r="E1" s="557"/>
      <c r="F1" s="557"/>
      <c r="G1" s="557"/>
      <c r="H1" s="557"/>
      <c r="I1" s="557"/>
      <c r="J1" s="557"/>
      <c r="K1" s="557"/>
      <c r="L1" s="14"/>
      <c r="M1" s="14"/>
    </row>
    <row r="2" spans="1:13" ht="13.5" thickBot="1" x14ac:dyDescent="0.3">
      <c r="A2" s="14"/>
      <c r="B2" s="14"/>
      <c r="C2" s="557"/>
      <c r="D2" s="557"/>
      <c r="E2" s="557"/>
      <c r="F2" s="557"/>
      <c r="G2" s="557"/>
      <c r="H2" s="557"/>
      <c r="I2" s="557"/>
      <c r="J2" s="557"/>
      <c r="K2" s="557"/>
      <c r="L2" s="558" t="s">
        <v>517</v>
      </c>
      <c r="M2" s="14"/>
    </row>
    <row r="3" spans="1:13" ht="15" customHeight="1" x14ac:dyDescent="0.25">
      <c r="A3" s="1468" t="s">
        <v>497</v>
      </c>
      <c r="B3" s="1465" t="s">
        <v>502</v>
      </c>
      <c r="C3" s="1465"/>
      <c r="D3" s="1465"/>
      <c r="E3" s="1465"/>
      <c r="F3" s="1465"/>
      <c r="G3" s="1465"/>
      <c r="H3" s="1473" t="s">
        <v>1301</v>
      </c>
      <c r="I3" s="1470" t="s">
        <v>504</v>
      </c>
      <c r="J3" s="1470"/>
      <c r="K3" s="559" t="s">
        <v>505</v>
      </c>
      <c r="L3" s="1050" t="s">
        <v>503</v>
      </c>
      <c r="M3" s="1471" t="s">
        <v>1296</v>
      </c>
    </row>
    <row r="4" spans="1:13" ht="60" x14ac:dyDescent="0.25">
      <c r="A4" s="1469"/>
      <c r="B4" s="1466"/>
      <c r="C4" s="1466"/>
      <c r="D4" s="1466"/>
      <c r="E4" s="1466"/>
      <c r="F4" s="1466"/>
      <c r="G4" s="1466"/>
      <c r="H4" s="1474"/>
      <c r="I4" s="561" t="s">
        <v>681</v>
      </c>
      <c r="J4" s="1049" t="s">
        <v>1295</v>
      </c>
      <c r="K4" s="562" t="s">
        <v>506</v>
      </c>
      <c r="L4" s="1051" t="s">
        <v>682</v>
      </c>
      <c r="M4" s="1472"/>
    </row>
    <row r="5" spans="1:13" ht="15.75" customHeight="1" x14ac:dyDescent="0.25">
      <c r="A5" s="560"/>
      <c r="B5" s="1467"/>
      <c r="C5" s="1467"/>
      <c r="D5" s="1467"/>
      <c r="E5" s="1467"/>
      <c r="F5" s="1467"/>
      <c r="G5" s="1467"/>
      <c r="H5" s="856" t="s">
        <v>577</v>
      </c>
      <c r="I5" s="857" t="s">
        <v>578</v>
      </c>
      <c r="J5" s="857" t="s">
        <v>579</v>
      </c>
      <c r="K5" s="857" t="s">
        <v>580</v>
      </c>
      <c r="L5" s="1052" t="s">
        <v>683</v>
      </c>
      <c r="M5" s="858" t="s">
        <v>582</v>
      </c>
    </row>
    <row r="6" spans="1:13" x14ac:dyDescent="0.25">
      <c r="A6" s="563">
        <v>1</v>
      </c>
      <c r="B6" s="564" t="s">
        <v>684</v>
      </c>
      <c r="C6" s="565"/>
      <c r="D6" s="565"/>
      <c r="E6" s="565"/>
      <c r="F6" s="565"/>
      <c r="G6" s="566"/>
      <c r="H6" s="567">
        <f>SUM(H7:H11)+H14+H15-0.2</f>
        <v>186424.41897</v>
      </c>
      <c r="I6" s="568">
        <f t="shared" ref="I6:M6" si="0">SUM(I7:I11)+I14+I15</f>
        <v>84586.189859999999</v>
      </c>
      <c r="J6" s="568">
        <f t="shared" si="0"/>
        <v>6489.1696599999996</v>
      </c>
      <c r="K6" s="568">
        <f>SUM(K7:K11)+K14+K15-1</f>
        <v>28909.585750000002</v>
      </c>
      <c r="L6" s="567">
        <f>SUM(L7:L11)+L14+L15</f>
        <v>242100.22307999997</v>
      </c>
      <c r="M6" s="1056">
        <f t="shared" si="0"/>
        <v>10869.269999999957</v>
      </c>
    </row>
    <row r="7" spans="1:13" x14ac:dyDescent="0.25">
      <c r="A7" s="569">
        <f t="shared" ref="A7:A15" si="1">A6+1</f>
        <v>2</v>
      </c>
      <c r="B7" s="570" t="s">
        <v>499</v>
      </c>
      <c r="C7" s="571" t="s">
        <v>507</v>
      </c>
      <c r="D7" s="572"/>
      <c r="E7" s="572"/>
      <c r="F7" s="572"/>
      <c r="G7" s="573"/>
      <c r="H7" s="574">
        <f>'11.a'!C3</f>
        <v>9429.4672800000008</v>
      </c>
      <c r="I7" s="575">
        <f>'11.a'!C8</f>
        <v>0</v>
      </c>
      <c r="J7" s="575">
        <f>'11.a'!C4</f>
        <v>0</v>
      </c>
      <c r="K7" s="575">
        <f>'11.a'!C14</f>
        <v>0</v>
      </c>
      <c r="L7" s="1053">
        <f>H7+I7-K7</f>
        <v>9429.4672800000008</v>
      </c>
      <c r="M7" s="1057">
        <f>'11.a'!F4</f>
        <v>0</v>
      </c>
    </row>
    <row r="8" spans="1:13" x14ac:dyDescent="0.25">
      <c r="A8" s="576">
        <f t="shared" si="1"/>
        <v>3</v>
      </c>
      <c r="B8" s="577"/>
      <c r="C8" s="578" t="s">
        <v>508</v>
      </c>
      <c r="D8" s="579"/>
      <c r="E8" s="579"/>
      <c r="F8" s="579"/>
      <c r="G8" s="580"/>
      <c r="H8" s="581">
        <f>'11.b'!C3</f>
        <v>46447.180509999998</v>
      </c>
      <c r="I8" s="582">
        <f>'11.b'!C18-0.4</f>
        <v>32148.65957</v>
      </c>
      <c r="J8" s="583">
        <f>'11.b'!C5</f>
        <v>6489.1696599999996</v>
      </c>
      <c r="K8" s="582">
        <f>'11.b'!C34</f>
        <v>12514.72105</v>
      </c>
      <c r="L8" s="1054">
        <f t="shared" ref="L8:L14" si="2">H8+I8-K8</f>
        <v>66081.119030000002</v>
      </c>
      <c r="M8" s="1058">
        <f>'2'!D92</f>
        <v>10869.269999999957</v>
      </c>
    </row>
    <row r="9" spans="1:13" x14ac:dyDescent="0.25">
      <c r="A9" s="576">
        <f t="shared" si="1"/>
        <v>4</v>
      </c>
      <c r="B9" s="577"/>
      <c r="C9" s="578" t="s">
        <v>509</v>
      </c>
      <c r="D9" s="579"/>
      <c r="E9" s="579"/>
      <c r="F9" s="579"/>
      <c r="G9" s="580"/>
      <c r="H9" s="581">
        <f>'11.c'!C3</f>
        <v>33502.597600000001</v>
      </c>
      <c r="I9" s="582">
        <f>'11.c'!C7</f>
        <v>15513.239170000001</v>
      </c>
      <c r="J9" s="584">
        <v>0</v>
      </c>
      <c r="K9" s="582">
        <f>'11.c'!C8</f>
        <v>13419.995000000001</v>
      </c>
      <c r="L9" s="1054">
        <f t="shared" si="2"/>
        <v>35595.841769999999</v>
      </c>
      <c r="M9" s="1059">
        <v>0</v>
      </c>
    </row>
    <row r="10" spans="1:13" x14ac:dyDescent="0.25">
      <c r="A10" s="576">
        <f t="shared" si="1"/>
        <v>5</v>
      </c>
      <c r="B10" s="577"/>
      <c r="C10" s="578" t="s">
        <v>510</v>
      </c>
      <c r="D10" s="579"/>
      <c r="E10" s="579"/>
      <c r="F10" s="579"/>
      <c r="G10" s="580"/>
      <c r="H10" s="581">
        <f>'11.d'!C3</f>
        <v>0</v>
      </c>
      <c r="I10" s="582">
        <f>'11.d'!C9</f>
        <v>0</v>
      </c>
      <c r="J10" s="575">
        <f>'11.d'!C4</f>
        <v>0</v>
      </c>
      <c r="K10" s="582">
        <f>'11.d'!C15</f>
        <v>0</v>
      </c>
      <c r="L10" s="1054">
        <f t="shared" si="2"/>
        <v>0</v>
      </c>
      <c r="M10" s="1057">
        <f>'11.d'!E4</f>
        <v>0</v>
      </c>
    </row>
    <row r="11" spans="1:13" x14ac:dyDescent="0.25">
      <c r="A11" s="576">
        <f t="shared" si="1"/>
        <v>6</v>
      </c>
      <c r="B11" s="577"/>
      <c r="C11" s="578" t="s">
        <v>511</v>
      </c>
      <c r="D11" s="579"/>
      <c r="E11" s="579"/>
      <c r="F11" s="579"/>
      <c r="G11" s="580"/>
      <c r="H11" s="581">
        <f>'11.e'!F8</f>
        <v>1594.90888</v>
      </c>
      <c r="I11" s="582">
        <f>'11.e'!F13-0.2</f>
        <v>1148.4432300000001</v>
      </c>
      <c r="J11" s="584">
        <v>0</v>
      </c>
      <c r="K11" s="582">
        <f>'11.e'!F18</f>
        <v>802.37656000000004</v>
      </c>
      <c r="L11" s="1054">
        <f t="shared" si="2"/>
        <v>1940.9755499999997</v>
      </c>
      <c r="M11" s="1059">
        <v>0</v>
      </c>
    </row>
    <row r="12" spans="1:13" x14ac:dyDescent="0.25">
      <c r="A12" s="576" t="s">
        <v>685</v>
      </c>
      <c r="B12" s="577"/>
      <c r="C12" s="578" t="s">
        <v>514</v>
      </c>
      <c r="D12" s="579" t="s">
        <v>515</v>
      </c>
      <c r="E12" s="579"/>
      <c r="F12" s="579"/>
      <c r="G12" s="580"/>
      <c r="H12" s="581">
        <f>'11.e'!F6</f>
        <v>191.07522999999998</v>
      </c>
      <c r="I12" s="582">
        <f>'11.e'!F11</f>
        <v>129.37867</v>
      </c>
      <c r="J12" s="584">
        <v>0</v>
      </c>
      <c r="K12" s="582">
        <f>'11.e'!F16</f>
        <v>125.4819</v>
      </c>
      <c r="L12" s="1054">
        <f t="shared" si="2"/>
        <v>194.97199999999998</v>
      </c>
      <c r="M12" s="1059">
        <v>0</v>
      </c>
    </row>
    <row r="13" spans="1:13" x14ac:dyDescent="0.25">
      <c r="A13" s="576" t="s">
        <v>686</v>
      </c>
      <c r="B13" s="577"/>
      <c r="C13" s="578"/>
      <c r="D13" s="579" t="s">
        <v>516</v>
      </c>
      <c r="E13" s="579"/>
      <c r="F13" s="579"/>
      <c r="G13" s="580"/>
      <c r="H13" s="581">
        <f>'11.e'!F7</f>
        <v>436.79951000000005</v>
      </c>
      <c r="I13" s="582">
        <f>'11.e'!F12</f>
        <v>422.57800999999995</v>
      </c>
      <c r="J13" s="584">
        <v>0</v>
      </c>
      <c r="K13" s="582">
        <f>'11.e'!F17</f>
        <v>436.79951000000005</v>
      </c>
      <c r="L13" s="1054">
        <f t="shared" si="2"/>
        <v>422.57800999999995</v>
      </c>
      <c r="M13" s="1059">
        <v>0</v>
      </c>
    </row>
    <row r="14" spans="1:13" x14ac:dyDescent="0.25">
      <c r="A14" s="576">
        <f>A11+1</f>
        <v>7</v>
      </c>
      <c r="B14" s="577"/>
      <c r="C14" s="578" t="s">
        <v>512</v>
      </c>
      <c r="D14" s="579"/>
      <c r="E14" s="579"/>
      <c r="F14" s="579"/>
      <c r="G14" s="580"/>
      <c r="H14" s="581">
        <f>'11.f'!C3</f>
        <v>0</v>
      </c>
      <c r="I14" s="582">
        <f>'11.f'!C4</f>
        <v>0</v>
      </c>
      <c r="J14" s="584">
        <v>0</v>
      </c>
      <c r="K14" s="582">
        <f>'11.f'!C10</f>
        <v>0</v>
      </c>
      <c r="L14" s="1054">
        <f t="shared" si="2"/>
        <v>0</v>
      </c>
      <c r="M14" s="1059">
        <v>0</v>
      </c>
    </row>
    <row r="15" spans="1:13" ht="13.5" thickBot="1" x14ac:dyDescent="0.3">
      <c r="A15" s="585">
        <f t="shared" si="1"/>
        <v>8</v>
      </c>
      <c r="B15" s="586"/>
      <c r="C15" s="587" t="s">
        <v>513</v>
      </c>
      <c r="D15" s="588"/>
      <c r="E15" s="588"/>
      <c r="F15" s="588"/>
      <c r="G15" s="589"/>
      <c r="H15" s="590">
        <f>'11.g'!C3</f>
        <v>95450.464699999997</v>
      </c>
      <c r="I15" s="591">
        <f>'11.g'!C10</f>
        <v>35775.847889999997</v>
      </c>
      <c r="J15" s="591">
        <f>'11.g'!C5</f>
        <v>0</v>
      </c>
      <c r="K15" s="591">
        <f>'11.g'!C16-0.1</f>
        <v>2173.49314</v>
      </c>
      <c r="L15" s="1055">
        <f>H15+I15-K15</f>
        <v>129052.81944999998</v>
      </c>
      <c r="M15" s="1060">
        <f>'11.g'!F5</f>
        <v>0</v>
      </c>
    </row>
    <row r="17" spans="1:12" x14ac:dyDescent="0.25">
      <c r="A17" s="1061" t="s">
        <v>657</v>
      </c>
    </row>
    <row r="18" spans="1:12" x14ac:dyDescent="0.25">
      <c r="A18" s="15" t="s">
        <v>1297</v>
      </c>
    </row>
    <row r="19" spans="1:12" x14ac:dyDescent="0.25">
      <c r="A19" s="1064" t="s">
        <v>1298</v>
      </c>
      <c r="B19" s="593"/>
      <c r="C19" s="594"/>
      <c r="D19" s="594"/>
      <c r="E19" s="594"/>
      <c r="F19" s="595"/>
      <c r="G19" s="594"/>
      <c r="H19" s="594"/>
      <c r="I19" s="594"/>
      <c r="J19" s="596"/>
    </row>
    <row r="20" spans="1:12" x14ac:dyDescent="0.25">
      <c r="A20" s="1062"/>
      <c r="B20" s="596"/>
      <c r="C20" s="596"/>
      <c r="D20" s="596"/>
      <c r="E20" s="596"/>
      <c r="F20" s="596"/>
      <c r="G20" s="596"/>
      <c r="H20" s="596"/>
      <c r="I20" s="596"/>
      <c r="J20" s="596"/>
    </row>
    <row r="21" spans="1:12" x14ac:dyDescent="0.25">
      <c r="A21" s="1063" t="s">
        <v>703</v>
      </c>
      <c r="B21" s="597"/>
      <c r="C21" s="597"/>
      <c r="D21" s="596"/>
      <c r="E21" s="596"/>
      <c r="F21" s="597"/>
      <c r="G21" s="596"/>
      <c r="H21" s="596"/>
      <c r="I21" s="596"/>
      <c r="J21" s="596"/>
    </row>
    <row r="22" spans="1:12" x14ac:dyDescent="0.25">
      <c r="A22" s="1061" t="s">
        <v>1299</v>
      </c>
      <c r="B22" s="597"/>
      <c r="C22" s="597"/>
      <c r="D22" s="596"/>
      <c r="E22" s="596"/>
      <c r="F22" s="597"/>
      <c r="G22" s="596"/>
      <c r="H22" s="596"/>
      <c r="I22" s="596"/>
      <c r="J22" s="596"/>
    </row>
    <row r="23" spans="1:12" x14ac:dyDescent="0.25">
      <c r="A23" s="1061" t="s">
        <v>1300</v>
      </c>
      <c r="B23" s="597"/>
      <c r="C23" s="596"/>
      <c r="D23" s="596"/>
      <c r="E23" s="596"/>
      <c r="F23" s="596"/>
      <c r="G23" s="596"/>
      <c r="H23" s="596"/>
      <c r="I23" s="596"/>
      <c r="J23" s="596"/>
    </row>
    <row r="26" spans="1:12" x14ac:dyDescent="0.25">
      <c r="A26" s="598"/>
      <c r="B26" s="598"/>
      <c r="C26" s="599"/>
      <c r="D26" s="599"/>
      <c r="E26" s="599"/>
      <c r="F26" s="599"/>
      <c r="G26" s="599"/>
      <c r="H26" s="599"/>
      <c r="I26" s="599"/>
      <c r="J26" s="599"/>
      <c r="K26" s="599"/>
      <c r="L26" s="598"/>
    </row>
    <row r="27" spans="1:12" x14ac:dyDescent="0.25">
      <c r="A27" s="598"/>
      <c r="B27" s="598"/>
      <c r="C27" s="599"/>
      <c r="D27" s="599"/>
      <c r="E27" s="599"/>
      <c r="F27" s="599"/>
      <c r="G27" s="599"/>
      <c r="H27" s="599"/>
      <c r="I27" s="599"/>
      <c r="J27" s="599"/>
      <c r="K27" s="599"/>
      <c r="L27" s="598"/>
    </row>
    <row r="28" spans="1:12" x14ac:dyDescent="0.25">
      <c r="A28" s="598"/>
      <c r="B28" s="598"/>
      <c r="C28" s="599"/>
      <c r="D28" s="599"/>
      <c r="E28" s="599"/>
      <c r="F28" s="599"/>
      <c r="G28" s="599"/>
      <c r="H28" s="599"/>
      <c r="I28" s="599"/>
      <c r="J28" s="599"/>
      <c r="K28" s="599"/>
      <c r="L28" s="598"/>
    </row>
    <row r="29" spans="1:12" x14ac:dyDescent="0.25">
      <c r="A29" s="598"/>
      <c r="B29" s="598"/>
      <c r="C29" s="599"/>
      <c r="D29" s="599"/>
      <c r="E29" s="599"/>
      <c r="F29" s="599"/>
      <c r="G29" s="599"/>
      <c r="H29" s="599"/>
      <c r="I29" s="599"/>
      <c r="J29" s="599"/>
      <c r="K29" s="599"/>
      <c r="L29" s="598"/>
    </row>
    <row r="30" spans="1:12" x14ac:dyDescent="0.25">
      <c r="A30" s="598"/>
      <c r="B30" s="598"/>
      <c r="C30" s="599"/>
      <c r="D30" s="599"/>
      <c r="E30" s="599"/>
      <c r="F30" s="599"/>
      <c r="G30" s="599"/>
      <c r="H30" s="599"/>
      <c r="I30" s="599"/>
      <c r="J30" s="599"/>
      <c r="K30" s="599"/>
      <c r="L30" s="598"/>
    </row>
    <row r="31" spans="1:12" x14ac:dyDescent="0.25">
      <c r="A31" s="598"/>
      <c r="B31" s="598"/>
      <c r="C31" s="599"/>
      <c r="D31" s="599"/>
      <c r="E31" s="599"/>
      <c r="F31" s="599"/>
      <c r="G31" s="599"/>
      <c r="H31" s="599"/>
      <c r="I31" s="599"/>
      <c r="J31" s="599"/>
      <c r="K31" s="599"/>
      <c r="L31" s="598"/>
    </row>
    <row r="32" spans="1:12" x14ac:dyDescent="0.25">
      <c r="A32" s="598"/>
      <c r="B32" s="598"/>
      <c r="C32" s="599"/>
      <c r="D32" s="599"/>
      <c r="E32" s="599"/>
      <c r="F32" s="599"/>
      <c r="G32" s="599"/>
      <c r="H32" s="599"/>
      <c r="I32" s="599"/>
      <c r="J32" s="599"/>
      <c r="K32" s="599"/>
      <c r="L32" s="598"/>
    </row>
    <row r="33" spans="1:12" x14ac:dyDescent="0.25">
      <c r="A33" s="598"/>
      <c r="B33" s="598"/>
      <c r="C33" s="599"/>
      <c r="D33" s="599"/>
      <c r="E33" s="599"/>
      <c r="F33" s="599"/>
      <c r="G33" s="599"/>
      <c r="H33" s="599"/>
      <c r="I33" s="599"/>
      <c r="J33" s="599"/>
      <c r="K33" s="599"/>
      <c r="L33" s="598"/>
    </row>
    <row r="34" spans="1:12" x14ac:dyDescent="0.25">
      <c r="A34" s="598"/>
      <c r="B34" s="598"/>
      <c r="C34" s="599"/>
      <c r="D34" s="599"/>
      <c r="E34" s="599"/>
      <c r="F34" s="599"/>
      <c r="G34" s="599"/>
      <c r="H34" s="599"/>
      <c r="I34" s="599"/>
      <c r="J34" s="599"/>
      <c r="K34" s="599"/>
      <c r="L34" s="598"/>
    </row>
    <row r="35" spans="1:12" x14ac:dyDescent="0.25">
      <c r="A35" s="598"/>
      <c r="B35" s="598"/>
      <c r="C35" s="599"/>
      <c r="D35" s="599"/>
      <c r="E35" s="599"/>
      <c r="F35" s="599"/>
      <c r="G35" s="599"/>
      <c r="H35" s="599"/>
      <c r="I35" s="599"/>
      <c r="J35" s="599"/>
      <c r="K35" s="599"/>
      <c r="L35" s="598"/>
    </row>
    <row r="36" spans="1:12" x14ac:dyDescent="0.25">
      <c r="A36" s="598"/>
      <c r="B36" s="598"/>
      <c r="C36" s="599"/>
      <c r="D36" s="599"/>
      <c r="E36" s="599"/>
      <c r="F36" s="599"/>
      <c r="G36" s="599"/>
      <c r="H36" s="599"/>
      <c r="I36" s="599"/>
      <c r="J36" s="599"/>
      <c r="K36" s="599"/>
      <c r="L36" s="598"/>
    </row>
    <row r="37" spans="1:12" x14ac:dyDescent="0.25">
      <c r="A37" s="598"/>
      <c r="B37" s="598"/>
      <c r="C37" s="599"/>
      <c r="D37" s="599"/>
      <c r="E37" s="599"/>
      <c r="F37" s="599"/>
      <c r="G37" s="599"/>
      <c r="H37" s="599"/>
      <c r="I37" s="599"/>
      <c r="J37" s="599"/>
      <c r="K37" s="599"/>
      <c r="L37" s="598"/>
    </row>
  </sheetData>
  <mergeCells count="5">
    <mergeCell ref="B3:G5"/>
    <mergeCell ref="A3:A4"/>
    <mergeCell ref="I3:J3"/>
    <mergeCell ref="M3:M4"/>
    <mergeCell ref="H3:H4"/>
  </mergeCells>
  <phoneticPr fontId="15" type="noConversion"/>
  <printOptions horizontalCentered="1"/>
  <pageMargins left="0.23622047244094491" right="0.23622047244094491" top="0.86614173228346458" bottom="0.98425196850393704" header="0.51181102362204722" footer="0.51181102362204722"/>
  <pageSetup paperSize="9" orientation="landscape" cellComments="asDisplayed"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zoomScaleNormal="100" workbookViewId="0"/>
  </sheetViews>
  <sheetFormatPr defaultRowHeight="12.75" x14ac:dyDescent="0.25"/>
  <cols>
    <col min="1" max="1" width="14.42578125" style="15" customWidth="1"/>
    <col min="2" max="2" width="30.140625" style="15" customWidth="1"/>
    <col min="3" max="3" width="16.140625" style="592" customWidth="1"/>
    <col min="4" max="16384" width="9.140625" style="15"/>
  </cols>
  <sheetData>
    <row r="1" spans="1:5" ht="15.75" x14ac:dyDescent="0.25">
      <c r="A1" s="470" t="s">
        <v>1309</v>
      </c>
      <c r="B1" s="14"/>
      <c r="D1" s="14"/>
    </row>
    <row r="2" spans="1:5" ht="13.5" thickBot="1" x14ac:dyDescent="0.3">
      <c r="A2" s="14"/>
      <c r="B2" s="14"/>
      <c r="C2" s="600" t="s">
        <v>517</v>
      </c>
      <c r="D2" s="14"/>
    </row>
    <row r="3" spans="1:5" ht="13.5" thickBot="1" x14ac:dyDescent="0.3">
      <c r="A3" s="1478" t="s">
        <v>537</v>
      </c>
      <c r="B3" s="1479"/>
      <c r="C3" s="601">
        <v>9429.4672800000008</v>
      </c>
    </row>
    <row r="4" spans="1:5" x14ac:dyDescent="0.25">
      <c r="A4" s="1475" t="s">
        <v>539</v>
      </c>
      <c r="B4" s="602" t="s">
        <v>540</v>
      </c>
      <c r="C4" s="603"/>
    </row>
    <row r="5" spans="1:5" x14ac:dyDescent="0.25">
      <c r="A5" s="1476"/>
      <c r="B5" s="604" t="s">
        <v>541</v>
      </c>
      <c r="C5" s="605"/>
    </row>
    <row r="6" spans="1:5" x14ac:dyDescent="0.25">
      <c r="A6" s="1476"/>
      <c r="B6" s="604" t="s">
        <v>542</v>
      </c>
      <c r="C6" s="605"/>
    </row>
    <row r="7" spans="1:5" ht="13.5" thickBot="1" x14ac:dyDescent="0.3">
      <c r="A7" s="1476"/>
      <c r="B7" s="604" t="s">
        <v>543</v>
      </c>
      <c r="C7" s="605"/>
    </row>
    <row r="8" spans="1:5" ht="13.5" thickBot="1" x14ac:dyDescent="0.3">
      <c r="A8" s="1477"/>
      <c r="B8" s="606" t="s">
        <v>521</v>
      </c>
      <c r="C8" s="607">
        <f>SUM(C4:C7)</f>
        <v>0</v>
      </c>
    </row>
    <row r="9" spans="1:5" x14ac:dyDescent="0.25">
      <c r="A9" s="1475" t="s">
        <v>544</v>
      </c>
      <c r="B9" s="602" t="s">
        <v>545</v>
      </c>
      <c r="C9" s="603"/>
    </row>
    <row r="10" spans="1:5" x14ac:dyDescent="0.25">
      <c r="A10" s="1476"/>
      <c r="B10" s="604" t="s">
        <v>546</v>
      </c>
      <c r="C10" s="605"/>
    </row>
    <row r="11" spans="1:5" x14ac:dyDescent="0.25">
      <c r="A11" s="1476"/>
      <c r="B11" s="604" t="s">
        <v>547</v>
      </c>
      <c r="C11" s="605"/>
    </row>
    <row r="12" spans="1:5" x14ac:dyDescent="0.25">
      <c r="A12" s="1476"/>
      <c r="B12" s="604" t="s">
        <v>548</v>
      </c>
      <c r="C12" s="605"/>
    </row>
    <row r="13" spans="1:5" ht="13.5" thickBot="1" x14ac:dyDescent="0.3">
      <c r="A13" s="1476"/>
      <c r="B13" s="608" t="s">
        <v>793</v>
      </c>
      <c r="C13" s="609"/>
    </row>
    <row r="14" spans="1:5" ht="13.5" thickBot="1" x14ac:dyDescent="0.3">
      <c r="A14" s="1477"/>
      <c r="B14" s="606" t="s">
        <v>521</v>
      </c>
      <c r="C14" s="607">
        <f>SUM(C9:C13)</f>
        <v>0</v>
      </c>
    </row>
    <row r="15" spans="1:5" ht="13.5" thickBot="1" x14ac:dyDescent="0.3">
      <c r="A15" s="1478" t="s">
        <v>538</v>
      </c>
      <c r="B15" s="1479"/>
      <c r="C15" s="607">
        <f>C3+C8-C14</f>
        <v>9429.4672800000008</v>
      </c>
    </row>
    <row r="16" spans="1:5" x14ac:dyDescent="0.25">
      <c r="A16" s="14"/>
      <c r="B16" s="14"/>
      <c r="C16" s="557"/>
      <c r="D16" s="14"/>
      <c r="E16" s="14"/>
    </row>
    <row r="17" spans="1:5" x14ac:dyDescent="0.25">
      <c r="A17" s="14" t="s">
        <v>657</v>
      </c>
      <c r="B17" s="14"/>
      <c r="C17" s="557"/>
      <c r="D17" s="14"/>
      <c r="E17" s="14"/>
    </row>
    <row r="18" spans="1:5" x14ac:dyDescent="0.25">
      <c r="A18" s="14" t="s">
        <v>1256</v>
      </c>
      <c r="B18" s="14"/>
      <c r="C18" s="557"/>
      <c r="D18" s="14"/>
      <c r="E18" s="14"/>
    </row>
    <row r="19" spans="1:5" x14ac:dyDescent="0.25">
      <c r="A19" s="14"/>
      <c r="B19" s="14"/>
      <c r="C19" s="557"/>
      <c r="D19" s="14"/>
      <c r="E19" s="14"/>
    </row>
    <row r="20" spans="1:5" x14ac:dyDescent="0.25">
      <c r="A20" s="14"/>
      <c r="B20" s="14"/>
      <c r="C20" s="557"/>
      <c r="D20" s="14"/>
      <c r="E20" s="14"/>
    </row>
  </sheetData>
  <mergeCells count="4">
    <mergeCell ref="A4:A8"/>
    <mergeCell ref="A9:A14"/>
    <mergeCell ref="A3:B3"/>
    <mergeCell ref="A15:B15"/>
  </mergeCells>
  <phoneticPr fontId="15" type="noConversion"/>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zoomScaleNormal="100" workbookViewId="0"/>
  </sheetViews>
  <sheetFormatPr defaultRowHeight="12.75" x14ac:dyDescent="0.2"/>
  <cols>
    <col min="1" max="1" width="10.5703125" style="612" customWidth="1"/>
    <col min="2" max="2" width="43.5703125" style="612" customWidth="1"/>
    <col min="3" max="3" width="17" style="641" customWidth="1"/>
    <col min="4" max="16384" width="9.140625" style="612"/>
  </cols>
  <sheetData>
    <row r="1" spans="1:9" ht="13.5" customHeight="1" x14ac:dyDescent="0.25">
      <c r="A1" s="610" t="s">
        <v>1318</v>
      </c>
      <c r="B1" s="611"/>
      <c r="C1" s="612"/>
      <c r="D1" s="611"/>
      <c r="E1" s="611"/>
      <c r="F1" s="611"/>
    </row>
    <row r="2" spans="1:9" ht="13.5" customHeight="1" thickBot="1" x14ac:dyDescent="0.25">
      <c r="A2" s="611"/>
      <c r="B2" s="611"/>
      <c r="C2" s="613" t="s">
        <v>517</v>
      </c>
      <c r="D2" s="611"/>
      <c r="E2" s="611"/>
      <c r="F2" s="611"/>
    </row>
    <row r="3" spans="1:9" ht="16.5" customHeight="1" thickBot="1" x14ac:dyDescent="0.25">
      <c r="A3" s="1478" t="s">
        <v>537</v>
      </c>
      <c r="B3" s="1480"/>
      <c r="C3" s="614">
        <v>46447.180509999998</v>
      </c>
      <c r="D3" s="612" t="s">
        <v>1053</v>
      </c>
    </row>
    <row r="4" spans="1:9" ht="12.75" customHeight="1" x14ac:dyDescent="0.2">
      <c r="A4" s="473" t="s">
        <v>539</v>
      </c>
      <c r="B4" s="615" t="s">
        <v>549</v>
      </c>
      <c r="C4" s="616">
        <v>15630.17109</v>
      </c>
      <c r="D4" s="612" t="s">
        <v>748</v>
      </c>
    </row>
    <row r="5" spans="1:9" ht="12.75" customHeight="1" x14ac:dyDescent="0.2">
      <c r="A5" s="617"/>
      <c r="B5" s="618" t="s">
        <v>550</v>
      </c>
      <c r="C5" s="770">
        <v>6489.1696599999996</v>
      </c>
      <c r="D5" s="612" t="s">
        <v>749</v>
      </c>
      <c r="I5" s="612" t="s">
        <v>1330</v>
      </c>
    </row>
    <row r="6" spans="1:9" ht="12.75" customHeight="1" x14ac:dyDescent="0.2">
      <c r="A6" s="617"/>
      <c r="B6" s="618" t="s">
        <v>1204</v>
      </c>
      <c r="C6" s="619"/>
    </row>
    <row r="7" spans="1:9" ht="12.75" customHeight="1" x14ac:dyDescent="0.2">
      <c r="A7" s="617"/>
      <c r="B7" s="618" t="s">
        <v>551</v>
      </c>
      <c r="C7" s="619">
        <v>9865.2820800000009</v>
      </c>
      <c r="D7" s="612" t="s">
        <v>1324</v>
      </c>
      <c r="I7" s="612" t="s">
        <v>1331</v>
      </c>
    </row>
    <row r="8" spans="1:9" ht="12.75" customHeight="1" x14ac:dyDescent="0.2">
      <c r="A8" s="617"/>
      <c r="B8" s="618" t="s">
        <v>552</v>
      </c>
      <c r="C8" s="1047">
        <f>164.43674</f>
        <v>164.43673999999999</v>
      </c>
      <c r="D8" s="1048" t="s">
        <v>1325</v>
      </c>
    </row>
    <row r="9" spans="1:9" ht="12.75" customHeight="1" x14ac:dyDescent="0.2">
      <c r="A9" s="617"/>
      <c r="B9" s="618" t="s">
        <v>750</v>
      </c>
      <c r="C9" s="619">
        <f>SUM(C10:C13)</f>
        <v>0</v>
      </c>
    </row>
    <row r="10" spans="1:9" ht="12.75" customHeight="1" x14ac:dyDescent="0.2">
      <c r="A10" s="617"/>
      <c r="B10" s="618" t="s">
        <v>1332</v>
      </c>
      <c r="C10" s="619">
        <v>0</v>
      </c>
      <c r="D10" s="612" t="s">
        <v>1326</v>
      </c>
    </row>
    <row r="11" spans="1:9" ht="12.75" customHeight="1" x14ac:dyDescent="0.2">
      <c r="A11" s="617"/>
      <c r="B11" s="620" t="s">
        <v>0</v>
      </c>
      <c r="C11" s="621">
        <v>0</v>
      </c>
      <c r="D11" s="612" t="s">
        <v>1326</v>
      </c>
    </row>
    <row r="12" spans="1:9" ht="12.75" customHeight="1" x14ac:dyDescent="0.2">
      <c r="A12" s="617"/>
      <c r="B12" s="620"/>
      <c r="C12" s="621"/>
    </row>
    <row r="13" spans="1:9" ht="12.75" customHeight="1" x14ac:dyDescent="0.2">
      <c r="A13" s="617"/>
      <c r="B13" s="620"/>
      <c r="C13" s="621"/>
    </row>
    <row r="14" spans="1:9" ht="12.75" customHeight="1" x14ac:dyDescent="0.2">
      <c r="A14" s="617"/>
      <c r="B14" s="622" t="s">
        <v>553</v>
      </c>
      <c r="C14" s="623">
        <f>SUM(C15:C17)</f>
        <v>0</v>
      </c>
    </row>
    <row r="15" spans="1:9" ht="12.75" customHeight="1" x14ac:dyDescent="0.2">
      <c r="A15" s="617"/>
      <c r="B15" s="618" t="s">
        <v>554</v>
      </c>
      <c r="C15" s="605">
        <v>0</v>
      </c>
    </row>
    <row r="16" spans="1:9" ht="12.75" customHeight="1" x14ac:dyDescent="0.2">
      <c r="A16" s="617"/>
      <c r="B16" s="624" t="s">
        <v>555</v>
      </c>
      <c r="C16" s="619"/>
    </row>
    <row r="17" spans="1:12" ht="12.75" customHeight="1" thickBot="1" x14ac:dyDescent="0.25">
      <c r="A17" s="617"/>
      <c r="B17" s="618" t="s">
        <v>556</v>
      </c>
      <c r="C17" s="625"/>
    </row>
    <row r="18" spans="1:12" s="629" customFormat="1" ht="15.75" customHeight="1" thickBot="1" x14ac:dyDescent="0.25">
      <c r="A18" s="626"/>
      <c r="B18" s="627" t="s">
        <v>522</v>
      </c>
      <c r="C18" s="628">
        <f>C4+C5+C6+C7+C8+C9+C14</f>
        <v>32149.059570000001</v>
      </c>
    </row>
    <row r="19" spans="1:12" ht="12.75" customHeight="1" x14ac:dyDescent="0.2">
      <c r="A19" s="473" t="s">
        <v>544</v>
      </c>
      <c r="B19" s="630" t="s">
        <v>615</v>
      </c>
      <c r="C19" s="631">
        <f>SUM(C20:C28)</f>
        <v>12514.72105</v>
      </c>
    </row>
    <row r="20" spans="1:12" ht="12.75" customHeight="1" x14ac:dyDescent="0.2">
      <c r="A20" s="617"/>
      <c r="B20" s="632" t="s">
        <v>772</v>
      </c>
      <c r="C20" s="633">
        <f>11867.73038+190.9875+344.81889-K20</f>
        <v>12465.636770000001</v>
      </c>
      <c r="D20" s="612" t="s">
        <v>1323</v>
      </c>
      <c r="I20" s="1097" t="s">
        <v>1327</v>
      </c>
      <c r="J20" s="1097"/>
      <c r="K20" s="1097">
        <v>-62.1</v>
      </c>
      <c r="L20" s="1097" t="s">
        <v>1382</v>
      </c>
    </row>
    <row r="21" spans="1:12" ht="12.75" customHeight="1" x14ac:dyDescent="0.2">
      <c r="A21" s="617"/>
      <c r="B21" s="620" t="s">
        <v>557</v>
      </c>
      <c r="C21" s="621">
        <f>-98.62713+50-K21-K22</f>
        <v>1508.1232299999999</v>
      </c>
      <c r="D21" s="612" t="s">
        <v>1322</v>
      </c>
      <c r="I21" s="1097" t="s">
        <v>1328</v>
      </c>
      <c r="J21" s="1097"/>
      <c r="K21" s="1097">
        <v>-1683.25036</v>
      </c>
      <c r="L21" s="1097" t="s">
        <v>1381</v>
      </c>
    </row>
    <row r="22" spans="1:12" ht="12.75" customHeight="1" x14ac:dyDescent="0.2">
      <c r="A22" s="617"/>
      <c r="B22" s="620" t="s">
        <v>558</v>
      </c>
      <c r="C22" s="621">
        <v>0</v>
      </c>
      <c r="I22" s="1097" t="s">
        <v>1329</v>
      </c>
      <c r="J22" s="1097"/>
      <c r="K22" s="1097">
        <v>126.5</v>
      </c>
      <c r="L22" s="1097" t="s">
        <v>1380</v>
      </c>
    </row>
    <row r="23" spans="1:12" ht="12.75" customHeight="1" x14ac:dyDescent="0.2">
      <c r="A23" s="617"/>
      <c r="B23" s="620" t="s">
        <v>751</v>
      </c>
      <c r="C23" s="621">
        <v>129.81104999999999</v>
      </c>
      <c r="D23" s="612" t="s">
        <v>1321</v>
      </c>
    </row>
    <row r="24" spans="1:12" ht="12.75" customHeight="1" x14ac:dyDescent="0.2">
      <c r="A24" s="617"/>
      <c r="B24" s="620" t="s">
        <v>752</v>
      </c>
      <c r="C24" s="621">
        <v>0</v>
      </c>
    </row>
    <row r="25" spans="1:12" ht="12.75" customHeight="1" x14ac:dyDescent="0.2">
      <c r="A25" s="617"/>
      <c r="B25" s="620" t="s">
        <v>1319</v>
      </c>
      <c r="C25" s="621">
        <v>0</v>
      </c>
      <c r="D25" s="612" t="s">
        <v>1320</v>
      </c>
    </row>
    <row r="26" spans="1:12" ht="12.75" customHeight="1" x14ac:dyDescent="0.2">
      <c r="A26" s="617"/>
      <c r="B26" s="620" t="s">
        <v>1383</v>
      </c>
      <c r="C26" s="621">
        <f>-32.1-1683.25</f>
        <v>-1715.35</v>
      </c>
      <c r="D26" s="1097" t="s">
        <v>1385</v>
      </c>
      <c r="E26" s="1097"/>
      <c r="F26" s="1097"/>
      <c r="G26" s="1097"/>
      <c r="I26" s="612" t="s">
        <v>536</v>
      </c>
      <c r="K26" s="612">
        <f>K20+K21+K22</f>
        <v>-1618.8503599999999</v>
      </c>
    </row>
    <row r="27" spans="1:12" ht="12.75" customHeight="1" x14ac:dyDescent="0.2">
      <c r="A27" s="617"/>
      <c r="B27" s="620" t="s">
        <v>1384</v>
      </c>
      <c r="C27" s="621">
        <f>K22</f>
        <v>126.5</v>
      </c>
      <c r="D27" s="1097" t="s">
        <v>1386</v>
      </c>
      <c r="E27" s="1097"/>
      <c r="F27" s="1097"/>
      <c r="G27" s="1097"/>
    </row>
    <row r="28" spans="1:12" ht="12.75" customHeight="1" x14ac:dyDescent="0.2">
      <c r="A28" s="617"/>
      <c r="B28" s="620"/>
      <c r="C28" s="621"/>
    </row>
    <row r="29" spans="1:12" ht="12.75" customHeight="1" x14ac:dyDescent="0.2">
      <c r="A29" s="617"/>
      <c r="B29" s="634" t="s">
        <v>1205</v>
      </c>
      <c r="C29" s="635"/>
    </row>
    <row r="30" spans="1:12" ht="12.75" customHeight="1" x14ac:dyDescent="0.2">
      <c r="A30" s="617"/>
      <c r="B30" s="636" t="s">
        <v>559</v>
      </c>
      <c r="C30" s="637">
        <f>SUM(C31:C33)</f>
        <v>0</v>
      </c>
    </row>
    <row r="31" spans="1:12" ht="12.75" customHeight="1" x14ac:dyDescent="0.2">
      <c r="A31" s="617"/>
      <c r="B31" s="618" t="s">
        <v>560</v>
      </c>
      <c r="C31" s="619"/>
    </row>
    <row r="32" spans="1:12" ht="12.75" customHeight="1" x14ac:dyDescent="0.2">
      <c r="A32" s="617"/>
      <c r="B32" s="618" t="s">
        <v>561</v>
      </c>
      <c r="C32" s="619"/>
    </row>
    <row r="33" spans="1:5" ht="12.75" customHeight="1" thickBot="1" x14ac:dyDescent="0.25">
      <c r="A33" s="617"/>
      <c r="B33" s="618" t="s">
        <v>562</v>
      </c>
      <c r="C33" s="619"/>
    </row>
    <row r="34" spans="1:5" ht="15.75" thickBot="1" x14ac:dyDescent="0.25">
      <c r="A34" s="626"/>
      <c r="B34" s="627" t="s">
        <v>521</v>
      </c>
      <c r="C34" s="638">
        <f>C19+C29+C30</f>
        <v>12514.72105</v>
      </c>
    </row>
    <row r="35" spans="1:5" ht="18.75" customHeight="1" thickBot="1" x14ac:dyDescent="0.25">
      <c r="A35" s="1478" t="s">
        <v>538</v>
      </c>
      <c r="B35" s="1480"/>
      <c r="C35" s="638">
        <f>C3+C18-C34</f>
        <v>66081.519029999996</v>
      </c>
      <c r="D35" s="612" t="s">
        <v>1052</v>
      </c>
    </row>
    <row r="36" spans="1:5" ht="12.75" customHeight="1" x14ac:dyDescent="0.2">
      <c r="B36" s="611"/>
      <c r="C36" s="639"/>
      <c r="D36" s="611"/>
      <c r="E36" s="611"/>
    </row>
    <row r="37" spans="1:5" x14ac:dyDescent="0.2">
      <c r="A37" s="14" t="s">
        <v>657</v>
      </c>
      <c r="B37" s="611"/>
      <c r="C37" s="639"/>
      <c r="D37" s="611"/>
      <c r="E37" s="611"/>
    </row>
    <row r="38" spans="1:5" x14ac:dyDescent="0.2">
      <c r="A38" s="14" t="s">
        <v>1256</v>
      </c>
      <c r="C38" s="640"/>
    </row>
    <row r="39" spans="1:5" x14ac:dyDescent="0.2">
      <c r="C39" s="640"/>
    </row>
    <row r="40" spans="1:5" x14ac:dyDescent="0.2">
      <c r="C40" s="640">
        <v>66111.519390000001</v>
      </c>
      <c r="D40" s="612" t="s">
        <v>1051</v>
      </c>
    </row>
    <row r="41" spans="1:5" x14ac:dyDescent="0.2">
      <c r="C41" s="1068">
        <f>C40-C35</f>
        <v>30.000360000005458</v>
      </c>
      <c r="D41" s="876" t="s">
        <v>738</v>
      </c>
    </row>
  </sheetData>
  <sheetProtection insertRows="0" deleteRows="0"/>
  <mergeCells count="2">
    <mergeCell ref="A3:B3"/>
    <mergeCell ref="A35:B35"/>
  </mergeCells>
  <phoneticPr fontId="15" type="noConversion"/>
  <printOptions horizontalCentered="1"/>
  <pageMargins left="0.78740157480314965" right="0.39370078740157483" top="0.70866141732283472" bottom="0.70866141732283472" header="0.51181102362204722" footer="0.51181102362204722"/>
  <pageSetup paperSize="9" scale="94"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zoomScaleNormal="100" workbookViewId="0">
      <pane ySplit="5" topLeftCell="A67" activePane="bottomLeft" state="frozenSplit"/>
      <selection pane="bottomLeft" activeCell="D92" sqref="D92:E92"/>
    </sheetView>
  </sheetViews>
  <sheetFormatPr defaultRowHeight="12.75" x14ac:dyDescent="0.25"/>
  <cols>
    <col min="1" max="1" width="60.42578125" style="964" customWidth="1"/>
    <col min="2" max="2" width="13.85546875" style="1006" customWidth="1"/>
    <col min="3" max="3" width="9.140625" style="1006"/>
    <col min="4" max="5" width="13.140625" style="959" customWidth="1"/>
    <col min="6" max="6" width="13.140625" style="958" customWidth="1"/>
    <col min="7" max="16384" width="9.140625" style="958"/>
  </cols>
  <sheetData>
    <row r="1" spans="1:6" ht="15.75" x14ac:dyDescent="0.25">
      <c r="A1" s="1179" t="s">
        <v>897</v>
      </c>
      <c r="B1" s="1179"/>
      <c r="C1" s="1179"/>
      <c r="D1" s="1179"/>
      <c r="E1" s="1179"/>
    </row>
    <row r="2" spans="1:6" ht="12.75" customHeight="1" thickBot="1" x14ac:dyDescent="0.3">
      <c r="A2" s="1180"/>
      <c r="B2" s="1180"/>
      <c r="C2" s="1180"/>
      <c r="D2" s="1180"/>
      <c r="E2" s="1180"/>
    </row>
    <row r="3" spans="1:6" ht="27.95" customHeight="1" thickBot="1" x14ac:dyDescent="0.3">
      <c r="A3" s="1168" t="s">
        <v>678</v>
      </c>
      <c r="B3" s="1169"/>
      <c r="C3" s="1169"/>
      <c r="D3" s="1169"/>
      <c r="E3" s="1170"/>
      <c r="F3" s="980"/>
    </row>
    <row r="4" spans="1:6" ht="15" customHeight="1" thickBot="1" x14ac:dyDescent="0.3">
      <c r="A4" s="1154" t="s">
        <v>626</v>
      </c>
      <c r="B4" s="1155"/>
      <c r="C4" s="1155"/>
      <c r="D4" s="1155"/>
      <c r="E4" s="1156"/>
    </row>
    <row r="5" spans="1:6" s="1021" customFormat="1" ht="40.5" customHeight="1" thickBot="1" x14ac:dyDescent="0.3">
      <c r="A5" s="1029" t="s">
        <v>627</v>
      </c>
      <c r="B5" s="1028" t="s">
        <v>912</v>
      </c>
      <c r="C5" s="1027" t="s">
        <v>679</v>
      </c>
      <c r="D5" s="1026" t="s">
        <v>916</v>
      </c>
      <c r="E5" s="1025" t="s">
        <v>917</v>
      </c>
      <c r="F5" s="1087" t="s">
        <v>536</v>
      </c>
    </row>
    <row r="6" spans="1:6" s="1021" customFormat="1" ht="12.75" customHeight="1" x14ac:dyDescent="0.25">
      <c r="A6" s="1024" t="s">
        <v>383</v>
      </c>
      <c r="B6" s="1181"/>
      <c r="C6" s="1182"/>
      <c r="D6" s="1023" t="s">
        <v>605</v>
      </c>
      <c r="E6" s="1022" t="s">
        <v>523</v>
      </c>
      <c r="F6" s="1086" t="s">
        <v>1302</v>
      </c>
    </row>
    <row r="7" spans="1:6" x14ac:dyDescent="0.25">
      <c r="A7" s="985" t="s">
        <v>384</v>
      </c>
      <c r="B7" s="1020" t="s">
        <v>385</v>
      </c>
      <c r="C7" s="1015" t="s">
        <v>5</v>
      </c>
      <c r="D7" s="1071">
        <f>SUM(D8:D11)</f>
        <v>50465.770000000004</v>
      </c>
      <c r="E7" s="1072">
        <f>SUM(E8:E11)</f>
        <v>4048.4900000000002</v>
      </c>
      <c r="F7" s="1073">
        <f>SUM(F8:F11)</f>
        <v>54514.26</v>
      </c>
    </row>
    <row r="8" spans="1:6" x14ac:dyDescent="0.25">
      <c r="A8" s="974" t="s">
        <v>386</v>
      </c>
      <c r="B8" s="1019">
        <v>501</v>
      </c>
      <c r="C8" s="1011" t="s">
        <v>8</v>
      </c>
      <c r="D8" s="1074">
        <v>30258.61</v>
      </c>
      <c r="E8" s="1075">
        <v>1247.9000000000001</v>
      </c>
      <c r="F8" s="1076">
        <f t="shared" ref="F8:F48" si="0">D8+E8</f>
        <v>31506.510000000002</v>
      </c>
    </row>
    <row r="9" spans="1:6" x14ac:dyDescent="0.25">
      <c r="A9" s="974" t="s">
        <v>387</v>
      </c>
      <c r="B9" s="1019">
        <v>502</v>
      </c>
      <c r="C9" s="1011" t="s">
        <v>11</v>
      </c>
      <c r="D9" s="1074">
        <v>17480.080000000002</v>
      </c>
      <c r="E9" s="1075">
        <v>2667.02</v>
      </c>
      <c r="F9" s="1076">
        <f t="shared" si="0"/>
        <v>20147.100000000002</v>
      </c>
    </row>
    <row r="10" spans="1:6" x14ac:dyDescent="0.25">
      <c r="A10" s="974" t="s">
        <v>388</v>
      </c>
      <c r="B10" s="1019">
        <v>503</v>
      </c>
      <c r="C10" s="1011" t="s">
        <v>14</v>
      </c>
      <c r="D10" s="1074">
        <v>2554.48</v>
      </c>
      <c r="E10" s="1075">
        <v>21.34</v>
      </c>
      <c r="F10" s="1076">
        <f t="shared" si="0"/>
        <v>2575.8200000000002</v>
      </c>
    </row>
    <row r="11" spans="1:6" x14ac:dyDescent="0.25">
      <c r="A11" s="974" t="s">
        <v>389</v>
      </c>
      <c r="B11" s="1019">
        <v>504</v>
      </c>
      <c r="C11" s="1011" t="s">
        <v>17</v>
      </c>
      <c r="D11" s="1074">
        <v>172.6</v>
      </c>
      <c r="E11" s="1075">
        <v>112.23</v>
      </c>
      <c r="F11" s="1076">
        <f t="shared" si="0"/>
        <v>284.83</v>
      </c>
    </row>
    <row r="12" spans="1:6" x14ac:dyDescent="0.25">
      <c r="A12" s="974" t="s">
        <v>390</v>
      </c>
      <c r="B12" s="1019" t="s">
        <v>391</v>
      </c>
      <c r="C12" s="1011" t="s">
        <v>20</v>
      </c>
      <c r="D12" s="1077">
        <f>SUM(D13:D16)</f>
        <v>84014.35</v>
      </c>
      <c r="E12" s="1078">
        <f>SUM(E13:E16)</f>
        <v>1726.55</v>
      </c>
      <c r="F12" s="1076">
        <f t="shared" si="0"/>
        <v>85740.900000000009</v>
      </c>
    </row>
    <row r="13" spans="1:6" x14ac:dyDescent="0.25">
      <c r="A13" s="974" t="s">
        <v>392</v>
      </c>
      <c r="B13" s="1019">
        <v>511</v>
      </c>
      <c r="C13" s="1011" t="s">
        <v>23</v>
      </c>
      <c r="D13" s="1074">
        <v>7457.74</v>
      </c>
      <c r="E13" s="1075">
        <v>861.88</v>
      </c>
      <c r="F13" s="1076">
        <f t="shared" si="0"/>
        <v>8319.619999999999</v>
      </c>
    </row>
    <row r="14" spans="1:6" x14ac:dyDescent="0.25">
      <c r="A14" s="974" t="s">
        <v>393</v>
      </c>
      <c r="B14" s="1019">
        <v>512</v>
      </c>
      <c r="C14" s="1011" t="s">
        <v>26</v>
      </c>
      <c r="D14" s="1074">
        <v>25908.81</v>
      </c>
      <c r="E14" s="1075">
        <v>93.72</v>
      </c>
      <c r="F14" s="1076">
        <f t="shared" si="0"/>
        <v>26002.530000000002</v>
      </c>
    </row>
    <row r="15" spans="1:6" x14ac:dyDescent="0.25">
      <c r="A15" s="974" t="s">
        <v>394</v>
      </c>
      <c r="B15" s="1019">
        <v>513</v>
      </c>
      <c r="C15" s="1011" t="s">
        <v>29</v>
      </c>
      <c r="D15" s="1074">
        <v>1327.46</v>
      </c>
      <c r="E15" s="1075">
        <v>2.14</v>
      </c>
      <c r="F15" s="1076">
        <f t="shared" si="0"/>
        <v>1329.6000000000001</v>
      </c>
    </row>
    <row r="16" spans="1:6" x14ac:dyDescent="0.25">
      <c r="A16" s="974" t="s">
        <v>395</v>
      </c>
      <c r="B16" s="1019">
        <v>518</v>
      </c>
      <c r="C16" s="1011" t="s">
        <v>32</v>
      </c>
      <c r="D16" s="1074">
        <v>49320.34</v>
      </c>
      <c r="E16" s="1075">
        <v>768.81</v>
      </c>
      <c r="F16" s="1076">
        <f t="shared" si="0"/>
        <v>50089.149999999994</v>
      </c>
    </row>
    <row r="17" spans="1:6" x14ac:dyDescent="0.25">
      <c r="A17" s="974" t="s">
        <v>396</v>
      </c>
      <c r="B17" s="1019" t="s">
        <v>397</v>
      </c>
      <c r="C17" s="1011" t="s">
        <v>35</v>
      </c>
      <c r="D17" s="1077">
        <f>SUM(D18:D22)</f>
        <v>523363.69</v>
      </c>
      <c r="E17" s="1078">
        <f>SUM(E18:E22)</f>
        <v>5990.0700000000006</v>
      </c>
      <c r="F17" s="1076">
        <f t="shared" si="0"/>
        <v>529353.76</v>
      </c>
    </row>
    <row r="18" spans="1:6" x14ac:dyDescent="0.25">
      <c r="A18" s="974" t="s">
        <v>398</v>
      </c>
      <c r="B18" s="1019">
        <v>521</v>
      </c>
      <c r="C18" s="1011" t="s">
        <v>38</v>
      </c>
      <c r="D18" s="1074">
        <v>391979.1</v>
      </c>
      <c r="E18" s="1075">
        <v>4507.13</v>
      </c>
      <c r="F18" s="1076">
        <f t="shared" si="0"/>
        <v>396486.23</v>
      </c>
    </row>
    <row r="19" spans="1:6" x14ac:dyDescent="0.25">
      <c r="A19" s="974" t="s">
        <v>415</v>
      </c>
      <c r="B19" s="1019">
        <v>524</v>
      </c>
      <c r="C19" s="1011" t="s">
        <v>41</v>
      </c>
      <c r="D19" s="1074">
        <v>124924.57</v>
      </c>
      <c r="E19" s="1075">
        <v>1392.26</v>
      </c>
      <c r="F19" s="1076">
        <f t="shared" si="0"/>
        <v>126316.83</v>
      </c>
    </row>
    <row r="20" spans="1:6" x14ac:dyDescent="0.25">
      <c r="A20" s="974" t="s">
        <v>416</v>
      </c>
      <c r="B20" s="1019">
        <v>525</v>
      </c>
      <c r="C20" s="1011" t="s">
        <v>44</v>
      </c>
      <c r="D20" s="1074">
        <v>0</v>
      </c>
      <c r="E20" s="1075">
        <v>0</v>
      </c>
      <c r="F20" s="1076">
        <f t="shared" si="0"/>
        <v>0</v>
      </c>
    </row>
    <row r="21" spans="1:6" x14ac:dyDescent="0.25">
      <c r="A21" s="974" t="s">
        <v>417</v>
      </c>
      <c r="B21" s="1019">
        <v>527</v>
      </c>
      <c r="C21" s="1011" t="s">
        <v>47</v>
      </c>
      <c r="D21" s="1074">
        <v>6460.02</v>
      </c>
      <c r="E21" s="1075">
        <v>90.68</v>
      </c>
      <c r="F21" s="1076">
        <f t="shared" si="0"/>
        <v>6550.7000000000007</v>
      </c>
    </row>
    <row r="22" spans="1:6" x14ac:dyDescent="0.25">
      <c r="A22" s="974" t="s">
        <v>418</v>
      </c>
      <c r="B22" s="1019">
        <v>528</v>
      </c>
      <c r="C22" s="1011" t="s">
        <v>50</v>
      </c>
      <c r="D22" s="1074">
        <v>0</v>
      </c>
      <c r="E22" s="1075">
        <v>0</v>
      </c>
      <c r="F22" s="1076">
        <f t="shared" si="0"/>
        <v>0</v>
      </c>
    </row>
    <row r="23" spans="1:6" x14ac:dyDescent="0.25">
      <c r="A23" s="974" t="s">
        <v>419</v>
      </c>
      <c r="B23" s="1019" t="s">
        <v>420</v>
      </c>
      <c r="C23" s="1011" t="s">
        <v>53</v>
      </c>
      <c r="D23" s="1077">
        <f>SUM(D24:D26)</f>
        <v>83.34</v>
      </c>
      <c r="E23" s="1078">
        <f>SUM(E24:E26)</f>
        <v>0</v>
      </c>
      <c r="F23" s="1076">
        <f t="shared" si="0"/>
        <v>83.34</v>
      </c>
    </row>
    <row r="24" spans="1:6" x14ac:dyDescent="0.25">
      <c r="A24" s="974" t="s">
        <v>421</v>
      </c>
      <c r="B24" s="1019">
        <v>531</v>
      </c>
      <c r="C24" s="1011" t="s">
        <v>56</v>
      </c>
      <c r="D24" s="1074">
        <v>51.28</v>
      </c>
      <c r="E24" s="1075">
        <v>0</v>
      </c>
      <c r="F24" s="1076">
        <f t="shared" si="0"/>
        <v>51.28</v>
      </c>
    </row>
    <row r="25" spans="1:6" x14ac:dyDescent="0.25">
      <c r="A25" s="974" t="s">
        <v>422</v>
      </c>
      <c r="B25" s="1019">
        <v>532</v>
      </c>
      <c r="C25" s="1011" t="s">
        <v>59</v>
      </c>
      <c r="D25" s="1074">
        <v>25.18</v>
      </c>
      <c r="E25" s="1075">
        <v>0</v>
      </c>
      <c r="F25" s="1076">
        <f t="shared" si="0"/>
        <v>25.18</v>
      </c>
    </row>
    <row r="26" spans="1:6" x14ac:dyDescent="0.25">
      <c r="A26" s="974" t="s">
        <v>423</v>
      </c>
      <c r="B26" s="1019">
        <v>538</v>
      </c>
      <c r="C26" s="1011" t="s">
        <v>62</v>
      </c>
      <c r="D26" s="1074">
        <v>6.88</v>
      </c>
      <c r="E26" s="1075">
        <v>0</v>
      </c>
      <c r="F26" s="1076">
        <f t="shared" si="0"/>
        <v>6.88</v>
      </c>
    </row>
    <row r="27" spans="1:6" x14ac:dyDescent="0.25">
      <c r="A27" s="974" t="s">
        <v>424</v>
      </c>
      <c r="B27" s="1019" t="s">
        <v>425</v>
      </c>
      <c r="C27" s="1011" t="s">
        <v>65</v>
      </c>
      <c r="D27" s="1077">
        <f>SUM(D28:D35)</f>
        <v>130594.56000000001</v>
      </c>
      <c r="E27" s="1078">
        <f>SUM(E28:E35)</f>
        <v>152.01</v>
      </c>
      <c r="F27" s="1076">
        <f t="shared" si="0"/>
        <v>130746.57</v>
      </c>
    </row>
    <row r="28" spans="1:6" x14ac:dyDescent="0.25">
      <c r="A28" s="974" t="s">
        <v>426</v>
      </c>
      <c r="B28" s="1019">
        <v>541</v>
      </c>
      <c r="C28" s="1011" t="s">
        <v>68</v>
      </c>
      <c r="D28" s="1074">
        <v>3.3</v>
      </c>
      <c r="E28" s="1075">
        <v>0</v>
      </c>
      <c r="F28" s="1076">
        <f t="shared" si="0"/>
        <v>3.3</v>
      </c>
    </row>
    <row r="29" spans="1:6" x14ac:dyDescent="0.25">
      <c r="A29" s="974" t="s">
        <v>427</v>
      </c>
      <c r="B29" s="1019">
        <v>542</v>
      </c>
      <c r="C29" s="1011" t="s">
        <v>71</v>
      </c>
      <c r="D29" s="1074">
        <v>1868.02</v>
      </c>
      <c r="E29" s="1075">
        <v>0</v>
      </c>
      <c r="F29" s="1076">
        <f t="shared" si="0"/>
        <v>1868.02</v>
      </c>
    </row>
    <row r="30" spans="1:6" x14ac:dyDescent="0.25">
      <c r="A30" s="974" t="s">
        <v>428</v>
      </c>
      <c r="B30" s="1019">
        <v>543</v>
      </c>
      <c r="C30" s="1011" t="s">
        <v>74</v>
      </c>
      <c r="D30" s="1074">
        <v>10.15</v>
      </c>
      <c r="E30" s="1075">
        <v>0</v>
      </c>
      <c r="F30" s="1076">
        <f t="shared" si="0"/>
        <v>10.15</v>
      </c>
    </row>
    <row r="31" spans="1:6" x14ac:dyDescent="0.25">
      <c r="A31" s="974" t="s">
        <v>429</v>
      </c>
      <c r="B31" s="1019">
        <v>544</v>
      </c>
      <c r="C31" s="1011" t="s">
        <v>77</v>
      </c>
      <c r="D31" s="1074">
        <v>0</v>
      </c>
      <c r="E31" s="1075">
        <v>0</v>
      </c>
      <c r="F31" s="1076">
        <f t="shared" si="0"/>
        <v>0</v>
      </c>
    </row>
    <row r="32" spans="1:6" x14ac:dyDescent="0.25">
      <c r="A32" s="974" t="s">
        <v>430</v>
      </c>
      <c r="B32" s="1019">
        <v>545</v>
      </c>
      <c r="C32" s="1011" t="s">
        <v>80</v>
      </c>
      <c r="D32" s="1074">
        <v>886.13</v>
      </c>
      <c r="E32" s="1075">
        <v>0</v>
      </c>
      <c r="F32" s="1076">
        <f t="shared" si="0"/>
        <v>886.13</v>
      </c>
    </row>
    <row r="33" spans="1:6" x14ac:dyDescent="0.25">
      <c r="A33" s="974" t="s">
        <v>431</v>
      </c>
      <c r="B33" s="1019">
        <v>546</v>
      </c>
      <c r="C33" s="1011" t="s">
        <v>83</v>
      </c>
      <c r="D33" s="1074">
        <v>0</v>
      </c>
      <c r="E33" s="1075">
        <v>0</v>
      </c>
      <c r="F33" s="1076">
        <f t="shared" si="0"/>
        <v>0</v>
      </c>
    </row>
    <row r="34" spans="1:6" x14ac:dyDescent="0.25">
      <c r="A34" s="974" t="s">
        <v>432</v>
      </c>
      <c r="B34" s="1019">
        <v>548</v>
      </c>
      <c r="C34" s="1011" t="s">
        <v>85</v>
      </c>
      <c r="D34" s="1074">
        <v>0</v>
      </c>
      <c r="E34" s="1075">
        <v>0</v>
      </c>
      <c r="F34" s="1076">
        <f t="shared" si="0"/>
        <v>0</v>
      </c>
    </row>
    <row r="35" spans="1:6" x14ac:dyDescent="0.25">
      <c r="A35" s="974" t="s">
        <v>433</v>
      </c>
      <c r="B35" s="1019">
        <v>549</v>
      </c>
      <c r="C35" s="1011" t="s">
        <v>88</v>
      </c>
      <c r="D35" s="1074">
        <v>127826.96</v>
      </c>
      <c r="E35" s="1075">
        <v>152.01</v>
      </c>
      <c r="F35" s="1076">
        <f t="shared" si="0"/>
        <v>127978.97</v>
      </c>
    </row>
    <row r="36" spans="1:6" ht="12.75" customHeight="1" x14ac:dyDescent="0.25">
      <c r="A36" s="974" t="s">
        <v>774</v>
      </c>
      <c r="B36" s="1019" t="s">
        <v>434</v>
      </c>
      <c r="C36" s="1011" t="s">
        <v>91</v>
      </c>
      <c r="D36" s="1077">
        <f>SUM(D37:D42)</f>
        <v>67683.009999999995</v>
      </c>
      <c r="E36" s="1078">
        <f>SUM(E37:E42)</f>
        <v>272.18</v>
      </c>
      <c r="F36" s="1076">
        <f t="shared" si="0"/>
        <v>67955.189999999988</v>
      </c>
    </row>
    <row r="37" spans="1:6" x14ac:dyDescent="0.25">
      <c r="A37" s="974" t="s">
        <v>775</v>
      </c>
      <c r="B37" s="1019">
        <v>551</v>
      </c>
      <c r="C37" s="1011" t="s">
        <v>94</v>
      </c>
      <c r="D37" s="1074">
        <v>67683.009999999995</v>
      </c>
      <c r="E37" s="1075">
        <v>272.18</v>
      </c>
      <c r="F37" s="1076">
        <f t="shared" si="0"/>
        <v>67955.189999999988</v>
      </c>
    </row>
    <row r="38" spans="1:6" ht="12.75" customHeight="1" x14ac:dyDescent="0.25">
      <c r="A38" s="974" t="s">
        <v>776</v>
      </c>
      <c r="B38" s="1019">
        <v>552</v>
      </c>
      <c r="C38" s="1011" t="s">
        <v>97</v>
      </c>
      <c r="D38" s="1074">
        <v>0</v>
      </c>
      <c r="E38" s="1075">
        <v>0</v>
      </c>
      <c r="F38" s="1076">
        <f t="shared" si="0"/>
        <v>0</v>
      </c>
    </row>
    <row r="39" spans="1:6" x14ac:dyDescent="0.25">
      <c r="A39" s="974" t="s">
        <v>435</v>
      </c>
      <c r="B39" s="1019">
        <v>553</v>
      </c>
      <c r="C39" s="1011" t="s">
        <v>100</v>
      </c>
      <c r="D39" s="1074">
        <v>0</v>
      </c>
      <c r="E39" s="1075">
        <v>0</v>
      </c>
      <c r="F39" s="1076">
        <f t="shared" si="0"/>
        <v>0</v>
      </c>
    </row>
    <row r="40" spans="1:6" x14ac:dyDescent="0.25">
      <c r="A40" s="974" t="s">
        <v>436</v>
      </c>
      <c r="B40" s="1019">
        <v>554</v>
      </c>
      <c r="C40" s="1011" t="s">
        <v>103</v>
      </c>
      <c r="D40" s="1074">
        <v>0</v>
      </c>
      <c r="E40" s="1075">
        <v>0</v>
      </c>
      <c r="F40" s="1076">
        <f t="shared" si="0"/>
        <v>0</v>
      </c>
    </row>
    <row r="41" spans="1:6" x14ac:dyDescent="0.25">
      <c r="A41" s="974" t="s">
        <v>437</v>
      </c>
      <c r="B41" s="1019">
        <v>556</v>
      </c>
      <c r="C41" s="1011" t="s">
        <v>106</v>
      </c>
      <c r="D41" s="1074">
        <v>0</v>
      </c>
      <c r="E41" s="1075">
        <v>0</v>
      </c>
      <c r="F41" s="1076">
        <f t="shared" si="0"/>
        <v>0</v>
      </c>
    </row>
    <row r="42" spans="1:6" x14ac:dyDescent="0.25">
      <c r="A42" s="974" t="s">
        <v>438</v>
      </c>
      <c r="B42" s="1019">
        <v>559</v>
      </c>
      <c r="C42" s="1011" t="s">
        <v>109</v>
      </c>
      <c r="D42" s="1074">
        <v>0</v>
      </c>
      <c r="E42" s="1075">
        <v>0</v>
      </c>
      <c r="F42" s="1076">
        <f t="shared" si="0"/>
        <v>0</v>
      </c>
    </row>
    <row r="43" spans="1:6" x14ac:dyDescent="0.25">
      <c r="A43" s="974" t="s">
        <v>439</v>
      </c>
      <c r="B43" s="1019" t="s">
        <v>440</v>
      </c>
      <c r="C43" s="1011" t="s">
        <v>112</v>
      </c>
      <c r="D43" s="1077">
        <f>SUM(D44:D45)</f>
        <v>350.51</v>
      </c>
      <c r="E43" s="1078">
        <f>SUM(E44:E45)</f>
        <v>7</v>
      </c>
      <c r="F43" s="1076">
        <f t="shared" si="0"/>
        <v>357.51</v>
      </c>
    </row>
    <row r="44" spans="1:6" x14ac:dyDescent="0.25">
      <c r="A44" s="974" t="s">
        <v>777</v>
      </c>
      <c r="B44" s="1019">
        <v>581</v>
      </c>
      <c r="C44" s="1011" t="s">
        <v>115</v>
      </c>
      <c r="D44" s="1074">
        <v>0</v>
      </c>
      <c r="E44" s="1075">
        <v>0</v>
      </c>
      <c r="F44" s="1076">
        <f t="shared" si="0"/>
        <v>0</v>
      </c>
    </row>
    <row r="45" spans="1:6" x14ac:dyDescent="0.25">
      <c r="A45" s="974" t="s">
        <v>441</v>
      </c>
      <c r="B45" s="1019">
        <v>582</v>
      </c>
      <c r="C45" s="1011" t="s">
        <v>117</v>
      </c>
      <c r="D45" s="1074">
        <v>350.51</v>
      </c>
      <c r="E45" s="1075">
        <v>7</v>
      </c>
      <c r="F45" s="1076">
        <f t="shared" si="0"/>
        <v>357.51</v>
      </c>
    </row>
    <row r="46" spans="1:6" x14ac:dyDescent="0.25">
      <c r="A46" s="974" t="s">
        <v>442</v>
      </c>
      <c r="B46" s="1019" t="s">
        <v>443</v>
      </c>
      <c r="C46" s="1011" t="s">
        <v>119</v>
      </c>
      <c r="D46" s="1077">
        <f>D47</f>
        <v>0</v>
      </c>
      <c r="E46" s="1078">
        <f>E47</f>
        <v>0</v>
      </c>
      <c r="F46" s="1076">
        <f t="shared" si="0"/>
        <v>0</v>
      </c>
    </row>
    <row r="47" spans="1:6" x14ac:dyDescent="0.25">
      <c r="A47" s="974" t="s">
        <v>444</v>
      </c>
      <c r="B47" s="1019">
        <v>595</v>
      </c>
      <c r="C47" s="1011" t="s">
        <v>122</v>
      </c>
      <c r="D47" s="1074"/>
      <c r="E47" s="1075"/>
      <c r="F47" s="1076">
        <f t="shared" si="0"/>
        <v>0</v>
      </c>
    </row>
    <row r="48" spans="1:6" ht="23.25" customHeight="1" thickBot="1" x14ac:dyDescent="0.3">
      <c r="A48" s="969" t="s">
        <v>445</v>
      </c>
      <c r="B48" s="1018" t="s">
        <v>446</v>
      </c>
      <c r="C48" s="1017" t="s">
        <v>125</v>
      </c>
      <c r="D48" s="1079">
        <f>D7+D12+D17+D23+D27+D36+D43+D46</f>
        <v>856555.2300000001</v>
      </c>
      <c r="E48" s="1080">
        <f>E7+E12+E17+E23+E27+E36+E43+E46</f>
        <v>12196.300000000001</v>
      </c>
      <c r="F48" s="1081">
        <f t="shared" si="0"/>
        <v>868751.53000000014</v>
      </c>
    </row>
    <row r="49" spans="1:6" ht="12.75" customHeight="1" thickBot="1" x14ac:dyDescent="0.3">
      <c r="A49" s="1171" t="s">
        <v>447</v>
      </c>
      <c r="B49" s="1172"/>
      <c r="C49" s="1172"/>
      <c r="D49" s="1172"/>
      <c r="E49" s="1173"/>
      <c r="F49" s="1070"/>
    </row>
    <row r="50" spans="1:6" x14ac:dyDescent="0.25">
      <c r="A50" s="985" t="s">
        <v>448</v>
      </c>
      <c r="B50" s="1016" t="s">
        <v>449</v>
      </c>
      <c r="C50" s="1015" t="s">
        <v>128</v>
      </c>
      <c r="D50" s="1071">
        <f>SUM(D51:D53)</f>
        <v>50252.350000000006</v>
      </c>
      <c r="E50" s="1072">
        <f>SUM(E51:E53)</f>
        <v>12260.55</v>
      </c>
      <c r="F50" s="1082">
        <f t="shared" ref="F50:F89" si="1">D50+E50</f>
        <v>62512.900000000009</v>
      </c>
    </row>
    <row r="51" spans="1:6" x14ac:dyDescent="0.25">
      <c r="A51" s="974" t="s">
        <v>450</v>
      </c>
      <c r="B51" s="1012">
        <v>601</v>
      </c>
      <c r="C51" s="1011" t="s">
        <v>131</v>
      </c>
      <c r="D51" s="1074">
        <v>655.58</v>
      </c>
      <c r="E51" s="1075">
        <v>0</v>
      </c>
      <c r="F51" s="1076">
        <f t="shared" si="1"/>
        <v>655.58</v>
      </c>
    </row>
    <row r="52" spans="1:6" x14ac:dyDescent="0.25">
      <c r="A52" s="974" t="s">
        <v>451</v>
      </c>
      <c r="B52" s="1012">
        <v>602</v>
      </c>
      <c r="C52" s="1011" t="s">
        <v>134</v>
      </c>
      <c r="D52" s="1074">
        <v>49405.23</v>
      </c>
      <c r="E52" s="1075">
        <v>12138.21</v>
      </c>
      <c r="F52" s="1076">
        <f t="shared" si="1"/>
        <v>61543.44</v>
      </c>
    </row>
    <row r="53" spans="1:6" x14ac:dyDescent="0.25">
      <c r="A53" s="974" t="s">
        <v>452</v>
      </c>
      <c r="B53" s="1012">
        <v>604</v>
      </c>
      <c r="C53" s="1011" t="s">
        <v>137</v>
      </c>
      <c r="D53" s="1074">
        <v>191.54</v>
      </c>
      <c r="E53" s="1075">
        <v>122.34</v>
      </c>
      <c r="F53" s="1076">
        <f t="shared" si="1"/>
        <v>313.88</v>
      </c>
    </row>
    <row r="54" spans="1:6" x14ac:dyDescent="0.25">
      <c r="A54" s="974" t="s">
        <v>453</v>
      </c>
      <c r="B54" s="1012" t="s">
        <v>454</v>
      </c>
      <c r="C54" s="1011" t="s">
        <v>140</v>
      </c>
      <c r="D54" s="1077">
        <f>SUM(D55:D58)</f>
        <v>671.47</v>
      </c>
      <c r="E54" s="1078">
        <f>SUM(E55:E58)</f>
        <v>0</v>
      </c>
      <c r="F54" s="1076">
        <f t="shared" si="1"/>
        <v>671.47</v>
      </c>
    </row>
    <row r="55" spans="1:6" x14ac:dyDescent="0.25">
      <c r="A55" s="974" t="s">
        <v>455</v>
      </c>
      <c r="B55" s="1012">
        <v>611</v>
      </c>
      <c r="C55" s="1011" t="s">
        <v>143</v>
      </c>
      <c r="D55" s="1074">
        <v>0</v>
      </c>
      <c r="E55" s="1075">
        <v>0</v>
      </c>
      <c r="F55" s="1076">
        <f t="shared" si="1"/>
        <v>0</v>
      </c>
    </row>
    <row r="56" spans="1:6" x14ac:dyDescent="0.25">
      <c r="A56" s="974" t="s">
        <v>456</v>
      </c>
      <c r="B56" s="1012">
        <v>612</v>
      </c>
      <c r="C56" s="1011" t="s">
        <v>146</v>
      </c>
      <c r="D56" s="1074">
        <v>0</v>
      </c>
      <c r="E56" s="1075">
        <v>0</v>
      </c>
      <c r="F56" s="1076">
        <f t="shared" si="1"/>
        <v>0</v>
      </c>
    </row>
    <row r="57" spans="1:6" x14ac:dyDescent="0.25">
      <c r="A57" s="974" t="s">
        <v>457</v>
      </c>
      <c r="B57" s="1012">
        <v>613</v>
      </c>
      <c r="C57" s="1011" t="s">
        <v>149</v>
      </c>
      <c r="D57" s="1074">
        <v>671.47</v>
      </c>
      <c r="E57" s="1075">
        <v>0</v>
      </c>
      <c r="F57" s="1076">
        <f t="shared" si="1"/>
        <v>671.47</v>
      </c>
    </row>
    <row r="58" spans="1:6" x14ac:dyDescent="0.25">
      <c r="A58" s="974" t="s">
        <v>458</v>
      </c>
      <c r="B58" s="1012">
        <v>614</v>
      </c>
      <c r="C58" s="1011" t="s">
        <v>152</v>
      </c>
      <c r="D58" s="1074">
        <v>0</v>
      </c>
      <c r="E58" s="1075">
        <v>0</v>
      </c>
      <c r="F58" s="1076">
        <f t="shared" si="1"/>
        <v>0</v>
      </c>
    </row>
    <row r="59" spans="1:6" x14ac:dyDescent="0.25">
      <c r="A59" s="974" t="s">
        <v>459</v>
      </c>
      <c r="B59" s="1012" t="s">
        <v>460</v>
      </c>
      <c r="C59" s="1011" t="s">
        <v>155</v>
      </c>
      <c r="D59" s="1077">
        <f>SUM(D60:D63)</f>
        <v>111.54</v>
      </c>
      <c r="E59" s="1078">
        <f>SUM(E60:E63)</f>
        <v>0</v>
      </c>
      <c r="F59" s="1076">
        <f t="shared" si="1"/>
        <v>111.54</v>
      </c>
    </row>
    <row r="60" spans="1:6" x14ac:dyDescent="0.25">
      <c r="A60" s="974" t="s">
        <v>461</v>
      </c>
      <c r="B60" s="1012">
        <v>621</v>
      </c>
      <c r="C60" s="1011" t="s">
        <v>158</v>
      </c>
      <c r="D60" s="1074">
        <v>111.54</v>
      </c>
      <c r="E60" s="1075">
        <v>0</v>
      </c>
      <c r="F60" s="1076">
        <f t="shared" si="1"/>
        <v>111.54</v>
      </c>
    </row>
    <row r="61" spans="1:6" x14ac:dyDescent="0.25">
      <c r="A61" s="974" t="s">
        <v>462</v>
      </c>
      <c r="B61" s="1012">
        <v>622</v>
      </c>
      <c r="C61" s="1011" t="s">
        <v>161</v>
      </c>
      <c r="D61" s="1074">
        <v>0</v>
      </c>
      <c r="E61" s="1075">
        <v>0</v>
      </c>
      <c r="F61" s="1076">
        <f t="shared" si="1"/>
        <v>0</v>
      </c>
    </row>
    <row r="62" spans="1:6" x14ac:dyDescent="0.25">
      <c r="A62" s="974" t="s">
        <v>463</v>
      </c>
      <c r="B62" s="1012">
        <v>623</v>
      </c>
      <c r="C62" s="1011" t="s">
        <v>164</v>
      </c>
      <c r="D62" s="1074">
        <v>0</v>
      </c>
      <c r="E62" s="1075">
        <v>0</v>
      </c>
      <c r="F62" s="1076">
        <f t="shared" si="1"/>
        <v>0</v>
      </c>
    </row>
    <row r="63" spans="1:6" x14ac:dyDescent="0.25">
      <c r="A63" s="974" t="s">
        <v>464</v>
      </c>
      <c r="B63" s="1012">
        <v>624</v>
      </c>
      <c r="C63" s="1011" t="s">
        <v>166</v>
      </c>
      <c r="D63" s="1074">
        <v>0</v>
      </c>
      <c r="E63" s="1075">
        <v>0</v>
      </c>
      <c r="F63" s="1076">
        <f t="shared" si="1"/>
        <v>0</v>
      </c>
    </row>
    <row r="64" spans="1:6" x14ac:dyDescent="0.25">
      <c r="A64" s="974" t="s">
        <v>465</v>
      </c>
      <c r="B64" s="1012" t="s">
        <v>466</v>
      </c>
      <c r="C64" s="1011" t="s">
        <v>169</v>
      </c>
      <c r="D64" s="1077">
        <f>SUM(D65:D71)</f>
        <v>70797.430000000008</v>
      </c>
      <c r="E64" s="1078">
        <f>SUM(E65:E71)</f>
        <v>108.28</v>
      </c>
      <c r="F64" s="1076">
        <f t="shared" si="1"/>
        <v>70905.710000000006</v>
      </c>
    </row>
    <row r="65" spans="1:6" x14ac:dyDescent="0.25">
      <c r="A65" s="974" t="s">
        <v>467</v>
      </c>
      <c r="B65" s="1012">
        <v>641</v>
      </c>
      <c r="C65" s="1011" t="s">
        <v>172</v>
      </c>
      <c r="D65" s="1074">
        <v>290.88</v>
      </c>
      <c r="E65" s="1075">
        <v>77.11</v>
      </c>
      <c r="F65" s="1076">
        <f t="shared" si="1"/>
        <v>367.99</v>
      </c>
    </row>
    <row r="66" spans="1:6" x14ac:dyDescent="0.25">
      <c r="A66" s="974" t="s">
        <v>468</v>
      </c>
      <c r="B66" s="1012">
        <v>642</v>
      </c>
      <c r="C66" s="1011" t="s">
        <v>174</v>
      </c>
      <c r="D66" s="1074">
        <v>25</v>
      </c>
      <c r="E66" s="1075">
        <v>0</v>
      </c>
      <c r="F66" s="1076">
        <f t="shared" si="1"/>
        <v>25</v>
      </c>
    </row>
    <row r="67" spans="1:6" x14ac:dyDescent="0.25">
      <c r="A67" s="974" t="s">
        <v>469</v>
      </c>
      <c r="B67" s="1012">
        <v>643</v>
      </c>
      <c r="C67" s="1011" t="s">
        <v>177</v>
      </c>
      <c r="D67" s="1074">
        <v>0</v>
      </c>
      <c r="E67" s="1075">
        <v>0</v>
      </c>
      <c r="F67" s="1076">
        <f t="shared" si="1"/>
        <v>0</v>
      </c>
    </row>
    <row r="68" spans="1:6" x14ac:dyDescent="0.25">
      <c r="A68" s="974" t="s">
        <v>470</v>
      </c>
      <c r="B68" s="1012">
        <v>644</v>
      </c>
      <c r="C68" s="1011" t="s">
        <v>180</v>
      </c>
      <c r="D68" s="1074">
        <v>758.48</v>
      </c>
      <c r="E68" s="1075">
        <v>19.329999999999998</v>
      </c>
      <c r="F68" s="1076">
        <f t="shared" si="1"/>
        <v>777.81000000000006</v>
      </c>
    </row>
    <row r="69" spans="1:6" x14ac:dyDescent="0.25">
      <c r="A69" s="974" t="s">
        <v>471</v>
      </c>
      <c r="B69" s="1012">
        <v>645</v>
      </c>
      <c r="C69" s="1011" t="s">
        <v>183</v>
      </c>
      <c r="D69" s="1074">
        <v>96.84</v>
      </c>
      <c r="E69" s="1075">
        <v>0</v>
      </c>
      <c r="F69" s="1076">
        <f t="shared" si="1"/>
        <v>96.84</v>
      </c>
    </row>
    <row r="70" spans="1:6" x14ac:dyDescent="0.25">
      <c r="A70" s="974" t="s">
        <v>472</v>
      </c>
      <c r="B70" s="1012">
        <v>648</v>
      </c>
      <c r="C70" s="1011" t="s">
        <v>186</v>
      </c>
      <c r="D70" s="1074">
        <v>16395.97</v>
      </c>
      <c r="E70" s="1075">
        <v>0</v>
      </c>
      <c r="F70" s="1076">
        <f t="shared" si="1"/>
        <v>16395.97</v>
      </c>
    </row>
    <row r="71" spans="1:6" x14ac:dyDescent="0.25">
      <c r="A71" s="974" t="s">
        <v>473</v>
      </c>
      <c r="B71" s="1012">
        <v>649</v>
      </c>
      <c r="C71" s="1011" t="s">
        <v>189</v>
      </c>
      <c r="D71" s="1074">
        <v>53230.26</v>
      </c>
      <c r="E71" s="1075">
        <v>11.84</v>
      </c>
      <c r="F71" s="1076">
        <f t="shared" si="1"/>
        <v>53242.1</v>
      </c>
    </row>
    <row r="72" spans="1:6" ht="12.75" customHeight="1" x14ac:dyDescent="0.25">
      <c r="A72" s="974" t="s">
        <v>778</v>
      </c>
      <c r="B72" s="1012" t="s">
        <v>474</v>
      </c>
      <c r="C72" s="1011" t="s">
        <v>191</v>
      </c>
      <c r="D72" s="1077">
        <f>SUM(D73:D79)</f>
        <v>0</v>
      </c>
      <c r="E72" s="1078">
        <f>SUM(E73:E79)</f>
        <v>0</v>
      </c>
      <c r="F72" s="1076">
        <f t="shared" si="1"/>
        <v>0</v>
      </c>
    </row>
    <row r="73" spans="1:6" x14ac:dyDescent="0.25">
      <c r="A73" s="974" t="s">
        <v>779</v>
      </c>
      <c r="B73" s="1012">
        <v>652</v>
      </c>
      <c r="C73" s="1011" t="s">
        <v>194</v>
      </c>
      <c r="D73" s="1074">
        <v>0</v>
      </c>
      <c r="E73" s="1075">
        <v>0</v>
      </c>
      <c r="F73" s="1076">
        <f t="shared" si="1"/>
        <v>0</v>
      </c>
    </row>
    <row r="74" spans="1:6" x14ac:dyDescent="0.25">
      <c r="A74" s="974" t="s">
        <v>475</v>
      </c>
      <c r="B74" s="1012">
        <v>653</v>
      </c>
      <c r="C74" s="1011" t="s">
        <v>196</v>
      </c>
      <c r="D74" s="1074">
        <v>0</v>
      </c>
      <c r="E74" s="1075">
        <v>0</v>
      </c>
      <c r="F74" s="1076">
        <f t="shared" si="1"/>
        <v>0</v>
      </c>
    </row>
    <row r="75" spans="1:6" x14ac:dyDescent="0.25">
      <c r="A75" s="974" t="s">
        <v>476</v>
      </c>
      <c r="B75" s="1012">
        <v>654</v>
      </c>
      <c r="C75" s="1011" t="s">
        <v>198</v>
      </c>
      <c r="D75" s="1074">
        <v>0</v>
      </c>
      <c r="E75" s="1075">
        <v>0</v>
      </c>
      <c r="F75" s="1076">
        <f t="shared" si="1"/>
        <v>0</v>
      </c>
    </row>
    <row r="76" spans="1:6" x14ac:dyDescent="0.25">
      <c r="A76" s="974" t="s">
        <v>477</v>
      </c>
      <c r="B76" s="1012">
        <v>655</v>
      </c>
      <c r="C76" s="1011" t="s">
        <v>201</v>
      </c>
      <c r="D76" s="1074">
        <v>0</v>
      </c>
      <c r="E76" s="1075">
        <v>0</v>
      </c>
      <c r="F76" s="1076">
        <f t="shared" si="1"/>
        <v>0</v>
      </c>
    </row>
    <row r="77" spans="1:6" x14ac:dyDescent="0.25">
      <c r="A77" s="974" t="s">
        <v>478</v>
      </c>
      <c r="B77" s="1012">
        <v>656</v>
      </c>
      <c r="C77" s="1011" t="s">
        <v>204</v>
      </c>
      <c r="D77" s="1074">
        <v>0</v>
      </c>
      <c r="E77" s="1075">
        <v>0</v>
      </c>
      <c r="F77" s="1076">
        <f t="shared" si="1"/>
        <v>0</v>
      </c>
    </row>
    <row r="78" spans="1:6" x14ac:dyDescent="0.25">
      <c r="A78" s="974" t="s">
        <v>479</v>
      </c>
      <c r="B78" s="1012">
        <v>657</v>
      </c>
      <c r="C78" s="1011" t="s">
        <v>207</v>
      </c>
      <c r="D78" s="1074">
        <v>0</v>
      </c>
      <c r="E78" s="1075">
        <v>0</v>
      </c>
      <c r="F78" s="1076">
        <f t="shared" si="1"/>
        <v>0</v>
      </c>
    </row>
    <row r="79" spans="1:6" x14ac:dyDescent="0.25">
      <c r="A79" s="974" t="s">
        <v>480</v>
      </c>
      <c r="B79" s="1012">
        <v>659</v>
      </c>
      <c r="C79" s="1011" t="s">
        <v>210</v>
      </c>
      <c r="D79" s="1074">
        <v>0</v>
      </c>
      <c r="E79" s="1075">
        <v>0</v>
      </c>
      <c r="F79" s="1076">
        <f t="shared" si="1"/>
        <v>0</v>
      </c>
    </row>
    <row r="80" spans="1:6" x14ac:dyDescent="0.25">
      <c r="A80" s="974" t="s">
        <v>481</v>
      </c>
      <c r="B80" s="1012" t="s">
        <v>482</v>
      </c>
      <c r="C80" s="1011" t="s">
        <v>213</v>
      </c>
      <c r="D80" s="1077">
        <f>SUM(D81:D83)</f>
        <v>1011.97</v>
      </c>
      <c r="E80" s="1078">
        <f>SUM(E81:E83)</f>
        <v>0</v>
      </c>
      <c r="F80" s="1076">
        <f t="shared" si="1"/>
        <v>1011.97</v>
      </c>
    </row>
    <row r="81" spans="1:6" x14ac:dyDescent="0.25">
      <c r="A81" s="974" t="s">
        <v>483</v>
      </c>
      <c r="B81" s="1012">
        <v>681</v>
      </c>
      <c r="C81" s="1011" t="s">
        <v>216</v>
      </c>
      <c r="D81" s="1074">
        <v>0</v>
      </c>
      <c r="E81" s="1075">
        <v>0</v>
      </c>
      <c r="F81" s="1076">
        <f t="shared" si="1"/>
        <v>0</v>
      </c>
    </row>
    <row r="82" spans="1:6" x14ac:dyDescent="0.25">
      <c r="A82" s="974" t="s">
        <v>484</v>
      </c>
      <c r="B82" s="1012">
        <v>682</v>
      </c>
      <c r="C82" s="1011" t="s">
        <v>219</v>
      </c>
      <c r="D82" s="1074">
        <v>1011.97</v>
      </c>
      <c r="E82" s="1075">
        <v>0</v>
      </c>
      <c r="F82" s="1076">
        <f t="shared" si="1"/>
        <v>1011.97</v>
      </c>
    </row>
    <row r="83" spans="1:6" x14ac:dyDescent="0.25">
      <c r="A83" s="974" t="s">
        <v>485</v>
      </c>
      <c r="B83" s="1012">
        <v>684</v>
      </c>
      <c r="C83" s="1011" t="s">
        <v>222</v>
      </c>
      <c r="D83" s="1074">
        <v>0</v>
      </c>
      <c r="E83" s="1075">
        <v>0</v>
      </c>
      <c r="F83" s="1076">
        <f t="shared" si="1"/>
        <v>0</v>
      </c>
    </row>
    <row r="84" spans="1:6" x14ac:dyDescent="0.25">
      <c r="A84" s="974" t="s">
        <v>486</v>
      </c>
      <c r="B84" s="1012" t="s">
        <v>487</v>
      </c>
      <c r="C84" s="1011" t="s">
        <v>225</v>
      </c>
      <c r="D84" s="1077">
        <f>D85</f>
        <v>745803.05133000005</v>
      </c>
      <c r="E84" s="1078">
        <f>E85</f>
        <v>0</v>
      </c>
      <c r="F84" s="1076">
        <f t="shared" si="1"/>
        <v>745803.05133000005</v>
      </c>
    </row>
    <row r="85" spans="1:6" x14ac:dyDescent="0.25">
      <c r="A85" s="974" t="s">
        <v>488</v>
      </c>
      <c r="B85" s="1012">
        <v>691</v>
      </c>
      <c r="C85" s="1011" t="s">
        <v>228</v>
      </c>
      <c r="D85" s="1074">
        <v>745803.05133000005</v>
      </c>
      <c r="E85" s="1075">
        <v>0</v>
      </c>
      <c r="F85" s="1076">
        <f t="shared" si="1"/>
        <v>745803.05133000005</v>
      </c>
    </row>
    <row r="86" spans="1:6" ht="25.5" x14ac:dyDescent="0.25">
      <c r="A86" s="974" t="s">
        <v>489</v>
      </c>
      <c r="B86" s="1014" t="s">
        <v>677</v>
      </c>
      <c r="C86" s="1011" t="s">
        <v>231</v>
      </c>
      <c r="D86" s="1077">
        <f>D50+D54+D59+D64+D72+D80+D84</f>
        <v>868647.81133000006</v>
      </c>
      <c r="E86" s="1078">
        <f>E50+E54+E59+E64+E72+E80+E84</f>
        <v>12368.83</v>
      </c>
      <c r="F86" s="1076">
        <f t="shared" si="1"/>
        <v>881016.64133000001</v>
      </c>
    </row>
    <row r="87" spans="1:6" x14ac:dyDescent="0.25">
      <c r="A87" s="1013" t="s">
        <v>490</v>
      </c>
      <c r="B87" s="1012" t="s">
        <v>491</v>
      </c>
      <c r="C87" s="1011" t="s">
        <v>234</v>
      </c>
      <c r="D87" s="1077">
        <f>D86-D48</f>
        <v>12092.581329999957</v>
      </c>
      <c r="E87" s="1078">
        <f>E86-E48</f>
        <v>172.52999999999884</v>
      </c>
      <c r="F87" s="1076">
        <f t="shared" si="1"/>
        <v>12265.111329999956</v>
      </c>
    </row>
    <row r="88" spans="1:6" x14ac:dyDescent="0.25">
      <c r="A88" s="974" t="s">
        <v>492</v>
      </c>
      <c r="B88" s="1012">
        <v>591</v>
      </c>
      <c r="C88" s="1011" t="s">
        <v>237</v>
      </c>
      <c r="D88" s="1074">
        <v>1395.84</v>
      </c>
      <c r="E88" s="1075">
        <v>0</v>
      </c>
      <c r="F88" s="1076">
        <f t="shared" si="1"/>
        <v>1395.84</v>
      </c>
    </row>
    <row r="89" spans="1:6" ht="13.5" thickBot="1" x14ac:dyDescent="0.3">
      <c r="A89" s="1013" t="s">
        <v>493</v>
      </c>
      <c r="B89" s="1012" t="s">
        <v>494</v>
      </c>
      <c r="C89" s="1011" t="s">
        <v>240</v>
      </c>
      <c r="D89" s="1074">
        <v>10696.739999999958</v>
      </c>
      <c r="E89" s="1075">
        <f>E87-E88</f>
        <v>172.52999999999884</v>
      </c>
      <c r="F89" s="1083">
        <f t="shared" si="1"/>
        <v>10869.269999999957</v>
      </c>
    </row>
    <row r="90" spans="1:6" ht="24" customHeight="1" x14ac:dyDescent="0.25">
      <c r="A90" s="1176"/>
      <c r="B90" s="1177"/>
      <c r="C90" s="1178"/>
      <c r="D90" s="1174" t="s">
        <v>790</v>
      </c>
      <c r="E90" s="1175"/>
      <c r="F90" s="1084"/>
    </row>
    <row r="91" spans="1:6" ht="12.75" customHeight="1" x14ac:dyDescent="0.25">
      <c r="A91" s="1010" t="s">
        <v>495</v>
      </c>
      <c r="B91" s="1009" t="s">
        <v>606</v>
      </c>
      <c r="C91" s="983" t="s">
        <v>243</v>
      </c>
      <c r="D91" s="1183">
        <f>+D87+E87</f>
        <v>12265.111329999956</v>
      </c>
      <c r="E91" s="1184"/>
      <c r="F91" s="1085"/>
    </row>
    <row r="92" spans="1:6" ht="12.75" customHeight="1" thickBot="1" x14ac:dyDescent="0.3">
      <c r="A92" s="1008" t="s">
        <v>496</v>
      </c>
      <c r="B92" s="968" t="s">
        <v>607</v>
      </c>
      <c r="C92" s="967" t="s">
        <v>246</v>
      </c>
      <c r="D92" s="1166">
        <f>+D89+E89</f>
        <v>10869.269999999957</v>
      </c>
      <c r="E92" s="1167"/>
      <c r="F92" s="1085"/>
    </row>
    <row r="93" spans="1:6" ht="12.75" customHeight="1" x14ac:dyDescent="0.25">
      <c r="A93" s="1007"/>
      <c r="B93" s="961"/>
      <c r="C93" s="961"/>
    </row>
    <row r="94" spans="1:6" ht="12.75" customHeight="1" x14ac:dyDescent="0.25">
      <c r="A94" s="964" t="s">
        <v>657</v>
      </c>
      <c r="B94" s="961"/>
      <c r="C94" s="961"/>
    </row>
    <row r="95" spans="1:6" ht="12.75" customHeight="1" x14ac:dyDescent="0.25">
      <c r="A95" s="61" t="s">
        <v>1275</v>
      </c>
      <c r="B95" s="961"/>
      <c r="C95" s="961"/>
    </row>
    <row r="96" spans="1:6" x14ac:dyDescent="0.25">
      <c r="A96" s="958" t="s">
        <v>680</v>
      </c>
      <c r="B96" s="960"/>
      <c r="C96" s="960"/>
    </row>
    <row r="97" spans="1:3" x14ac:dyDescent="0.25">
      <c r="A97" s="61" t="s">
        <v>675</v>
      </c>
      <c r="B97" s="960"/>
      <c r="C97" s="960"/>
    </row>
    <row r="98" spans="1:3" x14ac:dyDescent="0.25">
      <c r="A98" s="61" t="s">
        <v>1213</v>
      </c>
    </row>
  </sheetData>
  <mergeCells count="10">
    <mergeCell ref="A1:E1"/>
    <mergeCell ref="A2:E2"/>
    <mergeCell ref="B6:C6"/>
    <mergeCell ref="A4:E4"/>
    <mergeCell ref="D91:E91"/>
    <mergeCell ref="D92:E92"/>
    <mergeCell ref="A3:E3"/>
    <mergeCell ref="A49:E49"/>
    <mergeCell ref="D90:E90"/>
    <mergeCell ref="A90:C90"/>
  </mergeCells>
  <pageMargins left="0" right="0" top="0.39370078740157483" bottom="0.39370078740157483" header="0.51181102362204722" footer="0.51181102362204722"/>
  <pageSetup paperSize="9" scale="75" orientation="portrait" r:id="rId1"/>
  <headerFooter alignWithMargins="0"/>
  <rowBreaks count="1" manualBreakCount="1">
    <brk id="48"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zoomScaleNormal="100" workbookViewId="0"/>
  </sheetViews>
  <sheetFormatPr defaultRowHeight="12.75" x14ac:dyDescent="0.25"/>
  <cols>
    <col min="1" max="1" width="13.28515625" style="15" customWidth="1"/>
    <col min="2" max="2" width="54.7109375" style="15" customWidth="1"/>
    <col min="3" max="3" width="14.28515625" style="592" customWidth="1"/>
    <col min="4" max="4" width="9.140625" style="15"/>
    <col min="5" max="5" width="17.5703125" style="15" customWidth="1"/>
    <col min="6" max="16384" width="9.140625" style="15"/>
  </cols>
  <sheetData>
    <row r="1" spans="1:7" ht="15.75" x14ac:dyDescent="0.25">
      <c r="A1" s="19" t="s">
        <v>1310</v>
      </c>
      <c r="B1" s="14"/>
      <c r="C1" s="15"/>
    </row>
    <row r="2" spans="1:7" ht="13.5" thickBot="1" x14ac:dyDescent="0.3">
      <c r="A2" s="14"/>
      <c r="B2" s="14"/>
      <c r="C2" s="642" t="s">
        <v>517</v>
      </c>
    </row>
    <row r="3" spans="1:7" ht="13.5" thickBot="1" x14ac:dyDescent="0.3">
      <c r="A3" s="1478" t="s">
        <v>537</v>
      </c>
      <c r="B3" s="1479"/>
      <c r="C3" s="601">
        <v>33502.597600000001</v>
      </c>
    </row>
    <row r="4" spans="1:7" ht="12.75" customHeight="1" x14ac:dyDescent="0.25">
      <c r="A4" s="1481" t="s">
        <v>539</v>
      </c>
      <c r="B4" s="644" t="s">
        <v>795</v>
      </c>
      <c r="C4" s="645">
        <v>15513.239170000001</v>
      </c>
      <c r="D4" s="646"/>
      <c r="E4" s="647"/>
      <c r="F4" s="646"/>
    </row>
    <row r="5" spans="1:7" ht="12.75" customHeight="1" x14ac:dyDescent="0.25">
      <c r="A5" s="1482"/>
      <c r="B5" s="648" t="s">
        <v>563</v>
      </c>
      <c r="C5" s="645"/>
      <c r="D5" s="646"/>
      <c r="E5" s="647"/>
      <c r="F5" s="646"/>
    </row>
    <row r="6" spans="1:7" ht="12.75" customHeight="1" thickBot="1" x14ac:dyDescent="0.3">
      <c r="A6" s="1483"/>
      <c r="B6" s="649" t="s">
        <v>796</v>
      </c>
      <c r="C6" s="650"/>
      <c r="D6" s="646"/>
      <c r="E6" s="647"/>
      <c r="F6" s="646"/>
    </row>
    <row r="7" spans="1:7" ht="16.5" customHeight="1" thickBot="1" x14ac:dyDescent="0.3">
      <c r="A7" s="1484"/>
      <c r="B7" s="651" t="s">
        <v>521</v>
      </c>
      <c r="C7" s="652">
        <f>SUM(C4:C6)</f>
        <v>15513.239170000001</v>
      </c>
      <c r="D7" s="646"/>
      <c r="E7" s="647"/>
      <c r="F7" s="646"/>
    </row>
    <row r="8" spans="1:7" ht="16.5" customHeight="1" thickBot="1" x14ac:dyDescent="0.3">
      <c r="A8" s="643" t="s">
        <v>544</v>
      </c>
      <c r="B8" s="653" t="s">
        <v>521</v>
      </c>
      <c r="C8" s="654">
        <v>13419.995000000001</v>
      </c>
      <c r="D8" s="646"/>
      <c r="E8" s="647"/>
      <c r="F8" s="646"/>
    </row>
    <row r="9" spans="1:7" ht="16.5" customHeight="1" thickBot="1" x14ac:dyDescent="0.3">
      <c r="A9" s="1485" t="s">
        <v>564</v>
      </c>
      <c r="B9" s="1486"/>
      <c r="C9" s="607">
        <f>C3+C7-C8</f>
        <v>35595.841769999999</v>
      </c>
      <c r="D9" s="646"/>
      <c r="E9" s="647"/>
      <c r="F9" s="646"/>
    </row>
    <row r="10" spans="1:7" ht="15" customHeight="1" x14ac:dyDescent="0.25">
      <c r="A10" s="656"/>
      <c r="B10" s="657"/>
      <c r="C10" s="658"/>
      <c r="D10" s="646"/>
      <c r="E10" s="647"/>
      <c r="F10" s="646"/>
    </row>
    <row r="11" spans="1:7" x14ac:dyDescent="0.25">
      <c r="A11" s="14" t="s">
        <v>657</v>
      </c>
      <c r="B11" s="660"/>
      <c r="C11" s="661"/>
      <c r="D11" s="655"/>
      <c r="E11" s="659"/>
      <c r="F11" s="659"/>
      <c r="G11" s="659"/>
    </row>
    <row r="12" spans="1:7" x14ac:dyDescent="0.25">
      <c r="A12" s="66" t="s">
        <v>961</v>
      </c>
      <c r="B12" s="662"/>
      <c r="C12" s="663"/>
      <c r="D12" s="655"/>
      <c r="E12" s="659"/>
      <c r="F12" s="659"/>
      <c r="G12" s="659"/>
    </row>
    <row r="13" spans="1:7" x14ac:dyDescent="0.25">
      <c r="A13" s="14" t="s">
        <v>1257</v>
      </c>
      <c r="B13" s="664"/>
      <c r="C13" s="665"/>
      <c r="D13" s="598"/>
      <c r="E13" s="598"/>
      <c r="F13" s="598"/>
      <c r="G13" s="598"/>
    </row>
    <row r="14" spans="1:7" x14ac:dyDescent="0.25">
      <c r="A14" s="666"/>
      <c r="B14" s="666"/>
      <c r="C14" s="667"/>
      <c r="D14" s="668"/>
      <c r="E14" s="668"/>
      <c r="F14" s="668"/>
      <c r="G14" s="669"/>
    </row>
    <row r="15" spans="1:7" x14ac:dyDescent="0.25">
      <c r="A15" s="666"/>
      <c r="B15" s="666"/>
      <c r="C15" s="670"/>
      <c r="D15" s="669"/>
      <c r="E15" s="669"/>
      <c r="F15" s="668"/>
      <c r="G15" s="669"/>
    </row>
    <row r="16" spans="1:7" x14ac:dyDescent="0.25">
      <c r="A16" s="671"/>
      <c r="B16" s="671"/>
      <c r="C16" s="672"/>
      <c r="D16" s="669"/>
      <c r="E16" s="669"/>
      <c r="F16" s="669"/>
      <c r="G16" s="669"/>
    </row>
    <row r="17" spans="1:7" x14ac:dyDescent="0.25">
      <c r="A17" s="673"/>
      <c r="B17" s="673"/>
      <c r="C17" s="674"/>
      <c r="D17" s="673"/>
      <c r="E17" s="673"/>
      <c r="F17" s="673"/>
      <c r="G17" s="673"/>
    </row>
    <row r="18" spans="1:7" x14ac:dyDescent="0.25">
      <c r="A18" s="673"/>
      <c r="B18" s="673"/>
      <c r="C18" s="674"/>
      <c r="D18" s="673"/>
      <c r="E18" s="673"/>
      <c r="F18" s="673"/>
      <c r="G18" s="673"/>
    </row>
    <row r="19" spans="1:7" x14ac:dyDescent="0.25">
      <c r="A19" s="598"/>
      <c r="B19" s="598"/>
      <c r="C19" s="599"/>
      <c r="D19" s="598"/>
      <c r="E19" s="598"/>
      <c r="F19" s="598"/>
      <c r="G19" s="598"/>
    </row>
    <row r="20" spans="1:7" x14ac:dyDescent="0.25">
      <c r="A20" s="598"/>
      <c r="B20" s="598"/>
      <c r="C20" s="599"/>
      <c r="D20" s="598"/>
      <c r="E20" s="598"/>
      <c r="F20" s="598"/>
      <c r="G20" s="598"/>
    </row>
    <row r="21" spans="1:7" x14ac:dyDescent="0.25">
      <c r="A21" s="598"/>
      <c r="B21" s="598"/>
      <c r="C21" s="599"/>
      <c r="D21" s="598"/>
      <c r="E21" s="598"/>
      <c r="F21" s="598"/>
      <c r="G21" s="598"/>
    </row>
    <row r="22" spans="1:7" x14ac:dyDescent="0.25">
      <c r="A22" s="598"/>
      <c r="B22" s="598"/>
      <c r="C22" s="599"/>
      <c r="D22" s="598"/>
      <c r="E22" s="598"/>
      <c r="F22" s="598"/>
      <c r="G22" s="598"/>
    </row>
    <row r="23" spans="1:7" x14ac:dyDescent="0.25">
      <c r="A23" s="598"/>
      <c r="B23" s="598"/>
      <c r="C23" s="599"/>
      <c r="D23" s="598"/>
      <c r="E23" s="598"/>
      <c r="F23" s="598"/>
      <c r="G23" s="598"/>
    </row>
    <row r="24" spans="1:7" x14ac:dyDescent="0.25">
      <c r="A24" s="598"/>
      <c r="B24" s="598"/>
      <c r="C24" s="599"/>
      <c r="D24" s="598"/>
      <c r="E24" s="598"/>
      <c r="F24" s="598"/>
      <c r="G24" s="598"/>
    </row>
    <row r="25" spans="1:7" x14ac:dyDescent="0.25">
      <c r="A25" s="598"/>
      <c r="B25" s="598"/>
      <c r="C25" s="599"/>
      <c r="D25" s="598"/>
      <c r="E25" s="598"/>
      <c r="F25" s="598"/>
      <c r="G25" s="598"/>
    </row>
    <row r="26" spans="1:7" x14ac:dyDescent="0.25">
      <c r="A26" s="598"/>
      <c r="B26" s="598"/>
      <c r="C26" s="599"/>
      <c r="D26" s="598"/>
      <c r="E26" s="598"/>
      <c r="F26" s="598"/>
      <c r="G26" s="598"/>
    </row>
    <row r="27" spans="1:7" x14ac:dyDescent="0.25">
      <c r="A27" s="598"/>
      <c r="B27" s="598"/>
      <c r="C27" s="599"/>
      <c r="D27" s="598"/>
      <c r="E27" s="598"/>
      <c r="F27" s="598"/>
      <c r="G27" s="598"/>
    </row>
    <row r="28" spans="1:7" x14ac:dyDescent="0.25">
      <c r="A28" s="598"/>
      <c r="B28" s="598"/>
      <c r="C28" s="599"/>
      <c r="D28" s="598"/>
      <c r="E28" s="598"/>
      <c r="F28" s="598"/>
      <c r="G28" s="598"/>
    </row>
    <row r="29" spans="1:7" x14ac:dyDescent="0.25">
      <c r="A29" s="598"/>
      <c r="B29" s="598"/>
      <c r="C29" s="599"/>
      <c r="D29" s="598"/>
      <c r="E29" s="598"/>
      <c r="F29" s="598"/>
      <c r="G29" s="598"/>
    </row>
    <row r="30" spans="1:7" x14ac:dyDescent="0.25">
      <c r="A30" s="598"/>
      <c r="B30" s="598"/>
      <c r="C30" s="599"/>
      <c r="D30" s="598"/>
      <c r="E30" s="598"/>
      <c r="F30" s="598"/>
      <c r="G30" s="598"/>
    </row>
    <row r="31" spans="1:7" x14ac:dyDescent="0.25">
      <c r="A31" s="598"/>
      <c r="B31" s="598"/>
      <c r="C31" s="599"/>
      <c r="D31" s="598"/>
      <c r="E31" s="598"/>
      <c r="F31" s="598"/>
      <c r="G31" s="598"/>
    </row>
    <row r="32" spans="1:7" x14ac:dyDescent="0.25">
      <c r="A32" s="598"/>
      <c r="B32" s="598"/>
      <c r="C32" s="599"/>
      <c r="D32" s="598"/>
      <c r="E32" s="598"/>
      <c r="F32" s="598"/>
      <c r="G32" s="598"/>
    </row>
    <row r="33" spans="1:7" x14ac:dyDescent="0.25">
      <c r="A33" s="598"/>
      <c r="B33" s="598"/>
      <c r="C33" s="599"/>
      <c r="D33" s="598"/>
      <c r="E33" s="598"/>
      <c r="F33" s="598"/>
      <c r="G33" s="598"/>
    </row>
  </sheetData>
  <sheetProtection insertRows="0"/>
  <mergeCells count="3">
    <mergeCell ref="A4:A7"/>
    <mergeCell ref="A3:B3"/>
    <mergeCell ref="A9:B9"/>
  </mergeCells>
  <phoneticPr fontId="15" type="noConversion"/>
  <printOptions horizontalCentered="1"/>
  <pageMargins left="0.78740157480314965" right="0.78740157480314965" top="0.98425196850393704" bottom="0.98425196850393704" header="0.51181102362204722" footer="0.51181102362204722"/>
  <pageSetup paperSize="9" scale="92" orientation="landscape" cellComments="asDisplayed"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zoomScaleNormal="100" workbookViewId="0"/>
  </sheetViews>
  <sheetFormatPr defaultRowHeight="12.75" x14ac:dyDescent="0.2"/>
  <cols>
    <col min="1" max="1" width="15.5703125" style="612" customWidth="1"/>
    <col min="2" max="2" width="32" style="612" customWidth="1"/>
    <col min="3" max="3" width="17.85546875" style="641" customWidth="1"/>
    <col min="4" max="16384" width="9.140625" style="612"/>
  </cols>
  <sheetData>
    <row r="1" spans="1:4" ht="13.5" customHeight="1" x14ac:dyDescent="0.25">
      <c r="A1" s="675" t="s">
        <v>1311</v>
      </c>
      <c r="B1" s="611"/>
      <c r="D1" s="611"/>
    </row>
    <row r="2" spans="1:4" ht="13.5" thickBot="1" x14ac:dyDescent="0.25">
      <c r="A2" s="611"/>
      <c r="B2" s="611"/>
      <c r="C2" s="676" t="s">
        <v>517</v>
      </c>
      <c r="D2" s="611"/>
    </row>
    <row r="3" spans="1:4" ht="13.5" thickBot="1" x14ac:dyDescent="0.25">
      <c r="A3" s="1478" t="s">
        <v>537</v>
      </c>
      <c r="B3" s="1479"/>
      <c r="C3" s="601">
        <v>0</v>
      </c>
      <c r="D3" s="611"/>
    </row>
    <row r="4" spans="1:4" x14ac:dyDescent="0.2">
      <c r="A4" s="1475" t="s">
        <v>539</v>
      </c>
      <c r="B4" s="602" t="s">
        <v>540</v>
      </c>
      <c r="C4" s="603"/>
      <c r="D4" s="611"/>
    </row>
    <row r="5" spans="1:4" x14ac:dyDescent="0.2">
      <c r="A5" s="1476"/>
      <c r="B5" s="604" t="s">
        <v>565</v>
      </c>
      <c r="C5" s="605"/>
      <c r="D5" s="611"/>
    </row>
    <row r="6" spans="1:4" x14ac:dyDescent="0.2">
      <c r="A6" s="1476"/>
      <c r="B6" s="604" t="s">
        <v>541</v>
      </c>
      <c r="C6" s="605"/>
      <c r="D6" s="611"/>
    </row>
    <row r="7" spans="1:4" x14ac:dyDescent="0.2">
      <c r="A7" s="1476"/>
      <c r="B7" s="677" t="s">
        <v>543</v>
      </c>
      <c r="C7" s="609"/>
      <c r="D7" s="611"/>
    </row>
    <row r="8" spans="1:4" ht="13.5" thickBot="1" x14ac:dyDescent="0.25">
      <c r="A8" s="1476"/>
      <c r="B8" s="677" t="s">
        <v>792</v>
      </c>
      <c r="C8" s="609"/>
      <c r="D8" s="611"/>
    </row>
    <row r="9" spans="1:4" ht="13.5" thickBot="1" x14ac:dyDescent="0.25">
      <c r="A9" s="1477"/>
      <c r="B9" s="606" t="s">
        <v>521</v>
      </c>
      <c r="C9" s="678">
        <f>SUM(C4:C8)</f>
        <v>0</v>
      </c>
      <c r="D9" s="611"/>
    </row>
    <row r="10" spans="1:4" x14ac:dyDescent="0.2">
      <c r="A10" s="1487" t="s">
        <v>544</v>
      </c>
      <c r="B10" s="602" t="s">
        <v>566</v>
      </c>
      <c r="C10" s="679"/>
      <c r="D10" s="611"/>
    </row>
    <row r="11" spans="1:4" x14ac:dyDescent="0.2">
      <c r="A11" s="1476"/>
      <c r="B11" s="604" t="s">
        <v>567</v>
      </c>
      <c r="C11" s="605"/>
      <c r="D11" s="611"/>
    </row>
    <row r="12" spans="1:4" x14ac:dyDescent="0.2">
      <c r="A12" s="1476"/>
      <c r="B12" s="604" t="s">
        <v>546</v>
      </c>
      <c r="C12" s="605"/>
      <c r="D12" s="611"/>
    </row>
    <row r="13" spans="1:4" x14ac:dyDescent="0.2">
      <c r="A13" s="1476"/>
      <c r="B13" s="604" t="s">
        <v>548</v>
      </c>
      <c r="C13" s="605"/>
      <c r="D13" s="611"/>
    </row>
    <row r="14" spans="1:4" ht="13.5" thickBot="1" x14ac:dyDescent="0.25">
      <c r="A14" s="1476"/>
      <c r="B14" s="604" t="s">
        <v>793</v>
      </c>
      <c r="C14" s="605"/>
      <c r="D14" s="611"/>
    </row>
    <row r="15" spans="1:4" ht="13.5" thickBot="1" x14ac:dyDescent="0.25">
      <c r="A15" s="1477"/>
      <c r="B15" s="606" t="s">
        <v>521</v>
      </c>
      <c r="C15" s="678">
        <f>SUM(C10:C14)</f>
        <v>0</v>
      </c>
      <c r="D15" s="611"/>
    </row>
    <row r="16" spans="1:4" ht="13.5" thickBot="1" x14ac:dyDescent="0.25">
      <c r="A16" s="1478" t="s">
        <v>538</v>
      </c>
      <c r="B16" s="1479"/>
      <c r="C16" s="678">
        <f>C3+C9-C15</f>
        <v>0</v>
      </c>
      <c r="D16" s="611"/>
    </row>
    <row r="17" spans="1:4" x14ac:dyDescent="0.2">
      <c r="A17" s="611"/>
      <c r="B17" s="363"/>
      <c r="C17" s="680"/>
      <c r="D17" s="611"/>
    </row>
    <row r="18" spans="1:4" x14ac:dyDescent="0.2">
      <c r="A18" s="14" t="s">
        <v>657</v>
      </c>
      <c r="B18" s="611"/>
      <c r="C18" s="680"/>
      <c r="D18" s="611"/>
    </row>
    <row r="19" spans="1:4" x14ac:dyDescent="0.2">
      <c r="A19" s="14" t="s">
        <v>1256</v>
      </c>
      <c r="B19" s="611"/>
      <c r="C19" s="680"/>
      <c r="D19" s="611"/>
    </row>
    <row r="20" spans="1:4" x14ac:dyDescent="0.2">
      <c r="A20" s="611"/>
      <c r="B20" s="611"/>
      <c r="C20" s="680"/>
      <c r="D20" s="611"/>
    </row>
    <row r="21" spans="1:4" x14ac:dyDescent="0.2">
      <c r="A21" s="611"/>
      <c r="B21" s="611"/>
      <c r="C21" s="680"/>
      <c r="D21" s="611"/>
    </row>
    <row r="22" spans="1:4" x14ac:dyDescent="0.2">
      <c r="A22" s="611"/>
      <c r="B22" s="611"/>
      <c r="C22" s="680"/>
      <c r="D22" s="611"/>
    </row>
  </sheetData>
  <mergeCells count="4">
    <mergeCell ref="A4:A9"/>
    <mergeCell ref="A10:A15"/>
    <mergeCell ref="A3:B3"/>
    <mergeCell ref="A16:B16"/>
  </mergeCells>
  <phoneticPr fontId="15" type="noConversion"/>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7"/>
  <sheetViews>
    <sheetView zoomScaleNormal="100" workbookViewId="0"/>
  </sheetViews>
  <sheetFormatPr defaultRowHeight="12.75" x14ac:dyDescent="0.25"/>
  <cols>
    <col min="1" max="1" width="13.5703125" style="15" customWidth="1"/>
    <col min="2" max="2" width="6.85546875" style="15" customWidth="1"/>
    <col min="3" max="3" width="66.85546875" style="15" customWidth="1"/>
    <col min="4" max="4" width="10.85546875" style="592" bestFit="1" customWidth="1"/>
    <col min="5" max="5" width="10.42578125" style="592" customWidth="1"/>
    <col min="6" max="6" width="10.85546875" style="592" bestFit="1" customWidth="1"/>
    <col min="7" max="7" width="17.5703125" style="15" customWidth="1"/>
    <col min="8" max="17" width="9.140625" style="15"/>
    <col min="18" max="18" width="9.5703125" style="15" bestFit="1" customWidth="1"/>
    <col min="19" max="16384" width="9.140625" style="15"/>
  </cols>
  <sheetData>
    <row r="1" spans="1:18" ht="15.75" x14ac:dyDescent="0.25">
      <c r="A1" s="19" t="s">
        <v>1317</v>
      </c>
      <c r="B1" s="14"/>
      <c r="C1" s="14"/>
      <c r="D1" s="557"/>
      <c r="E1" s="557"/>
      <c r="G1" s="14"/>
      <c r="H1" s="14"/>
      <c r="I1" s="14"/>
    </row>
    <row r="2" spans="1:18" ht="13.5" thickBot="1" x14ac:dyDescent="0.3">
      <c r="A2" s="14"/>
      <c r="B2" s="14"/>
      <c r="C2" s="14"/>
      <c r="D2" s="557"/>
      <c r="E2" s="557"/>
      <c r="F2" s="642" t="s">
        <v>517</v>
      </c>
      <c r="G2" s="14"/>
      <c r="H2" s="681" t="s">
        <v>1037</v>
      </c>
      <c r="I2" s="682"/>
      <c r="J2" s="683"/>
      <c r="K2" s="683"/>
      <c r="L2" s="683"/>
      <c r="M2" s="683"/>
      <c r="N2" s="683"/>
      <c r="O2" s="683"/>
      <c r="P2" s="683"/>
      <c r="Q2" s="683"/>
      <c r="R2" s="684"/>
    </row>
    <row r="3" spans="1:18" s="16" customFormat="1" ht="17.25" customHeight="1" thickBot="1" x14ac:dyDescent="0.3">
      <c r="A3" s="685"/>
      <c r="B3" s="686"/>
      <c r="C3" s="687" t="s">
        <v>529</v>
      </c>
      <c r="D3" s="688" t="s">
        <v>568</v>
      </c>
      <c r="E3" s="688" t="s">
        <v>569</v>
      </c>
      <c r="F3" s="689" t="s">
        <v>522</v>
      </c>
      <c r="G3" s="430"/>
      <c r="H3" s="690">
        <v>1185</v>
      </c>
      <c r="I3" s="690">
        <v>1220</v>
      </c>
      <c r="J3" s="691">
        <v>1230</v>
      </c>
      <c r="K3" s="691" t="s">
        <v>1242</v>
      </c>
      <c r="L3" s="691" t="s">
        <v>1241</v>
      </c>
      <c r="M3" s="691">
        <v>1630</v>
      </c>
      <c r="N3" s="691">
        <v>1640</v>
      </c>
      <c r="O3" s="691" t="s">
        <v>708</v>
      </c>
      <c r="P3" s="691" t="s">
        <v>754</v>
      </c>
      <c r="Q3" s="691">
        <v>1680</v>
      </c>
      <c r="R3" s="691">
        <v>1800</v>
      </c>
    </row>
    <row r="4" spans="1:18" ht="12.75" customHeight="1" x14ac:dyDescent="0.25">
      <c r="A4" s="1488" t="s">
        <v>537</v>
      </c>
      <c r="B4" s="692" t="s">
        <v>570</v>
      </c>
      <c r="C4" s="692"/>
      <c r="D4" s="708">
        <f>R4</f>
        <v>967.03413999999998</v>
      </c>
      <c r="E4" s="708"/>
      <c r="F4" s="694">
        <f t="shared" ref="F4:F17" si="0">SUM(D4:E4)</f>
        <v>967.03413999999998</v>
      </c>
      <c r="G4" s="14"/>
      <c r="H4" s="695"/>
      <c r="I4" s="695"/>
      <c r="J4" s="696"/>
      <c r="K4" s="696"/>
      <c r="L4" s="696"/>
      <c r="M4" s="696"/>
      <c r="N4" s="696"/>
      <c r="O4" s="696"/>
      <c r="P4" s="696"/>
      <c r="Q4" s="696"/>
      <c r="R4" s="696">
        <v>967.03413999999998</v>
      </c>
    </row>
    <row r="5" spans="1:18" ht="12.75" customHeight="1" x14ac:dyDescent="0.25">
      <c r="A5" s="1488"/>
      <c r="B5" s="604" t="s">
        <v>571</v>
      </c>
      <c r="C5" s="604"/>
      <c r="D5" s="693"/>
      <c r="E5" s="697"/>
      <c r="F5" s="698">
        <f t="shared" si="0"/>
        <v>0</v>
      </c>
      <c r="G5" s="657"/>
      <c r="H5" s="699"/>
      <c r="I5" s="695"/>
      <c r="J5" s="696"/>
      <c r="K5" s="696"/>
      <c r="L5" s="696"/>
      <c r="M5" s="696"/>
      <c r="N5" s="696"/>
      <c r="O5" s="696"/>
      <c r="P5" s="696"/>
      <c r="Q5" s="696"/>
      <c r="R5" s="696"/>
    </row>
    <row r="6" spans="1:18" ht="12.75" customHeight="1" x14ac:dyDescent="0.25">
      <c r="A6" s="1488"/>
      <c r="B6" s="604" t="s">
        <v>616</v>
      </c>
      <c r="C6" s="604"/>
      <c r="D6" s="693">
        <f>K6+M6+N6+O6</f>
        <v>161.22190000000001</v>
      </c>
      <c r="E6" s="697">
        <f>L6+P6</f>
        <v>29.853329999999985</v>
      </c>
      <c r="F6" s="700">
        <f t="shared" si="0"/>
        <v>191.07522999999998</v>
      </c>
      <c r="G6" s="657"/>
      <c r="H6" s="695"/>
      <c r="I6" s="695"/>
      <c r="J6" s="696"/>
      <c r="K6" s="696">
        <v>110.78981999999999</v>
      </c>
      <c r="L6" s="696">
        <v>0.24349999999999739</v>
      </c>
      <c r="M6" s="696">
        <v>6.5750799999999998</v>
      </c>
      <c r="N6" s="696">
        <v>43.856999999999999</v>
      </c>
      <c r="O6" s="696">
        <v>0</v>
      </c>
      <c r="P6" s="696">
        <v>29.609829999999988</v>
      </c>
      <c r="Q6" s="696"/>
      <c r="R6" s="696"/>
    </row>
    <row r="7" spans="1:18" ht="12.75" customHeight="1" thickBot="1" x14ac:dyDescent="0.3">
      <c r="A7" s="1488"/>
      <c r="B7" s="677" t="s">
        <v>617</v>
      </c>
      <c r="C7" s="701"/>
      <c r="D7" s="697">
        <f>H7+I7+J7+Q7</f>
        <v>436.79951000000005</v>
      </c>
      <c r="E7" s="697"/>
      <c r="F7" s="702">
        <f t="shared" si="0"/>
        <v>436.79951000000005</v>
      </c>
      <c r="G7" s="657"/>
      <c r="H7" s="703">
        <v>0</v>
      </c>
      <c r="I7" s="703">
        <v>175.91102000000001</v>
      </c>
      <c r="J7" s="696">
        <v>126.02419999999999</v>
      </c>
      <c r="K7" s="696"/>
      <c r="L7" s="696"/>
      <c r="M7" s="696"/>
      <c r="N7" s="696"/>
      <c r="O7" s="696"/>
      <c r="P7" s="696"/>
      <c r="Q7" s="696">
        <v>134.86429000000001</v>
      </c>
      <c r="R7" s="696"/>
    </row>
    <row r="8" spans="1:18" ht="13.5" thickBot="1" x14ac:dyDescent="0.3">
      <c r="A8" s="1489"/>
      <c r="B8" s="704" t="s">
        <v>522</v>
      </c>
      <c r="C8" s="704"/>
      <c r="D8" s="705">
        <f>SUM(D4:D7)</f>
        <v>1565.05555</v>
      </c>
      <c r="E8" s="705">
        <f>SUM(E4:E7)</f>
        <v>29.853329999999985</v>
      </c>
      <c r="F8" s="706">
        <f>SUM(F4:F7)</f>
        <v>1594.90888</v>
      </c>
      <c r="G8" s="657" t="s">
        <v>709</v>
      </c>
      <c r="H8" s="699"/>
      <c r="I8" s="695"/>
      <c r="J8" s="696"/>
      <c r="K8" s="696"/>
      <c r="L8" s="696"/>
      <c r="M8" s="696"/>
      <c r="N8" s="696"/>
      <c r="O8" s="696"/>
      <c r="P8" s="696"/>
      <c r="Q8" s="696"/>
      <c r="R8" s="696"/>
    </row>
    <row r="9" spans="1:18" x14ac:dyDescent="0.25">
      <c r="A9" s="1490" t="s">
        <v>572</v>
      </c>
      <c r="B9" s="692" t="s">
        <v>570</v>
      </c>
      <c r="C9" s="707"/>
      <c r="D9" s="708">
        <f>R9</f>
        <v>596.68655000000001</v>
      </c>
      <c r="E9" s="708"/>
      <c r="F9" s="709">
        <f t="shared" si="0"/>
        <v>596.68655000000001</v>
      </c>
      <c r="G9" s="664"/>
      <c r="H9" s="696"/>
      <c r="I9" s="696"/>
      <c r="J9" s="696"/>
      <c r="K9" s="696"/>
      <c r="L9" s="696"/>
      <c r="M9" s="696"/>
      <c r="N9" s="696"/>
      <c r="O9" s="696"/>
      <c r="P9" s="696"/>
      <c r="Q9" s="696"/>
      <c r="R9" s="696">
        <v>596.68655000000001</v>
      </c>
    </row>
    <row r="10" spans="1:18" x14ac:dyDescent="0.25">
      <c r="A10" s="1491"/>
      <c r="B10" s="604" t="s">
        <v>571</v>
      </c>
      <c r="C10" s="710"/>
      <c r="D10" s="693"/>
      <c r="E10" s="697"/>
      <c r="F10" s="711">
        <f t="shared" si="0"/>
        <v>0</v>
      </c>
      <c r="G10" s="664"/>
      <c r="H10" s="703"/>
      <c r="I10" s="703"/>
      <c r="J10" s="696"/>
      <c r="K10" s="696"/>
      <c r="L10" s="696"/>
      <c r="M10" s="696"/>
      <c r="N10" s="696"/>
      <c r="O10" s="696"/>
      <c r="P10" s="696"/>
      <c r="Q10" s="696"/>
      <c r="R10" s="696"/>
    </row>
    <row r="11" spans="1:18" x14ac:dyDescent="0.25">
      <c r="A11" s="1491"/>
      <c r="B11" s="604" t="s">
        <v>616</v>
      </c>
      <c r="C11" s="710"/>
      <c r="D11" s="693">
        <f>K11+M11+N11+O11</f>
        <v>114.86535000000001</v>
      </c>
      <c r="E11" s="697">
        <f>L11+P11</f>
        <v>14.51332</v>
      </c>
      <c r="F11" s="711">
        <f t="shared" si="0"/>
        <v>129.37867</v>
      </c>
      <c r="G11" s="14"/>
      <c r="H11" s="695"/>
      <c r="I11" s="695"/>
      <c r="J11" s="696"/>
      <c r="K11" s="696">
        <v>104.39982000000001</v>
      </c>
      <c r="L11" s="696">
        <v>0</v>
      </c>
      <c r="M11" s="696">
        <v>11.61553</v>
      </c>
      <c r="N11" s="1093">
        <f>0-N27</f>
        <v>-1.1499999999999999</v>
      </c>
      <c r="O11" s="696">
        <v>0</v>
      </c>
      <c r="P11" s="696">
        <v>14.51332</v>
      </c>
      <c r="Q11" s="696"/>
      <c r="R11" s="696"/>
    </row>
    <row r="12" spans="1:18" ht="13.5" thickBot="1" x14ac:dyDescent="0.3">
      <c r="A12" s="1491"/>
      <c r="B12" s="677" t="s">
        <v>617</v>
      </c>
      <c r="C12" s="710"/>
      <c r="D12" s="697">
        <f>H12+I12+J12+Q12</f>
        <v>422.57800999999995</v>
      </c>
      <c r="E12" s="697"/>
      <c r="F12" s="712">
        <f t="shared" si="0"/>
        <v>422.57800999999995</v>
      </c>
      <c r="G12" s="14"/>
      <c r="H12" s="703">
        <v>0</v>
      </c>
      <c r="I12" s="703">
        <f>70+4.08776</f>
        <v>74.087760000000003</v>
      </c>
      <c r="J12" s="696">
        <v>13.41545</v>
      </c>
      <c r="K12" s="696"/>
      <c r="L12" s="696"/>
      <c r="M12" s="696"/>
      <c r="N12" s="696"/>
      <c r="O12" s="696"/>
      <c r="P12" s="696"/>
      <c r="Q12" s="696">
        <v>335.07479999999998</v>
      </c>
      <c r="R12" s="696"/>
    </row>
    <row r="13" spans="1:18" ht="13.5" thickBot="1" x14ac:dyDescent="0.3">
      <c r="A13" s="1492"/>
      <c r="B13" s="713" t="s">
        <v>521</v>
      </c>
      <c r="C13" s="713"/>
      <c r="D13" s="714">
        <f>SUM(D9:D12)</f>
        <v>1134.1299100000001</v>
      </c>
      <c r="E13" s="714">
        <f>SUM(E9:E12)</f>
        <v>14.51332</v>
      </c>
      <c r="F13" s="715">
        <f>SUM(D13:E13)</f>
        <v>1148.6432300000001</v>
      </c>
      <c r="G13" s="14" t="s">
        <v>710</v>
      </c>
      <c r="H13" s="695"/>
      <c r="I13" s="695"/>
      <c r="J13" s="696"/>
      <c r="K13" s="696"/>
      <c r="L13" s="696"/>
      <c r="M13" s="696"/>
      <c r="N13" s="696"/>
      <c r="O13" s="696"/>
      <c r="P13" s="696"/>
      <c r="Q13" s="696"/>
      <c r="R13" s="696"/>
    </row>
    <row r="14" spans="1:18" x14ac:dyDescent="0.25">
      <c r="A14" s="1490" t="s">
        <v>573</v>
      </c>
      <c r="B14" s="692" t="s">
        <v>570</v>
      </c>
      <c r="C14" s="716"/>
      <c r="D14" s="693">
        <f>R14</f>
        <v>240.09514999999999</v>
      </c>
      <c r="E14" s="693"/>
      <c r="F14" s="711">
        <f t="shared" si="0"/>
        <v>240.09514999999999</v>
      </c>
      <c r="G14" s="664"/>
      <c r="H14" s="696"/>
      <c r="I14" s="696"/>
      <c r="J14" s="696"/>
      <c r="K14" s="696"/>
      <c r="L14" s="696"/>
      <c r="M14" s="696"/>
      <c r="N14" s="696"/>
      <c r="O14" s="696"/>
      <c r="P14" s="696"/>
      <c r="Q14" s="696"/>
      <c r="R14" s="696">
        <v>240.09514999999999</v>
      </c>
    </row>
    <row r="15" spans="1:18" x14ac:dyDescent="0.25">
      <c r="A15" s="1491"/>
      <c r="B15" s="604" t="s">
        <v>571</v>
      </c>
      <c r="C15" s="710"/>
      <c r="D15" s="693"/>
      <c r="E15" s="697"/>
      <c r="F15" s="711">
        <f t="shared" si="0"/>
        <v>0</v>
      </c>
      <c r="G15" s="664"/>
      <c r="H15" s="703"/>
      <c r="I15" s="703"/>
      <c r="J15" s="696"/>
      <c r="K15" s="696"/>
      <c r="L15" s="696"/>
      <c r="M15" s="696"/>
      <c r="N15" s="696"/>
      <c r="O15" s="696"/>
      <c r="P15" s="696"/>
      <c r="Q15" s="696"/>
      <c r="R15" s="696"/>
    </row>
    <row r="16" spans="1:18" x14ac:dyDescent="0.25">
      <c r="A16" s="1491"/>
      <c r="B16" s="604" t="s">
        <v>616</v>
      </c>
      <c r="C16" s="710"/>
      <c r="D16" s="693">
        <f>K16+M16+N16+O16</f>
        <v>125.4819</v>
      </c>
      <c r="E16" s="697">
        <f>L16+P16</f>
        <v>0</v>
      </c>
      <c r="F16" s="711">
        <f t="shared" si="0"/>
        <v>125.4819</v>
      </c>
      <c r="G16" s="14"/>
      <c r="H16" s="695"/>
      <c r="I16" s="695"/>
      <c r="J16" s="696"/>
      <c r="K16" s="696">
        <v>76.199820000000003</v>
      </c>
      <c r="L16" s="696">
        <v>0</v>
      </c>
      <c r="M16" s="696">
        <v>6.5750799999999998</v>
      </c>
      <c r="N16" s="696">
        <f>42.707</f>
        <v>42.707000000000001</v>
      </c>
      <c r="O16" s="696">
        <v>0</v>
      </c>
      <c r="P16" s="696">
        <v>0</v>
      </c>
      <c r="Q16" s="696"/>
      <c r="R16" s="696"/>
    </row>
    <row r="17" spans="1:18" ht="13.5" thickBot="1" x14ac:dyDescent="0.3">
      <c r="A17" s="1491"/>
      <c r="B17" s="677" t="s">
        <v>617</v>
      </c>
      <c r="C17" s="710"/>
      <c r="D17" s="697">
        <f>H17+I17+J17+Q17</f>
        <v>436.79951000000005</v>
      </c>
      <c r="E17" s="697"/>
      <c r="F17" s="712">
        <f t="shared" si="0"/>
        <v>436.79951000000005</v>
      </c>
      <c r="G17" s="14"/>
      <c r="H17" s="703">
        <v>0</v>
      </c>
      <c r="I17" s="703">
        <v>175.91102000000001</v>
      </c>
      <c r="J17" s="696">
        <v>126.02419999999999</v>
      </c>
      <c r="K17" s="696"/>
      <c r="L17" s="696"/>
      <c r="M17" s="696"/>
      <c r="N17" s="696"/>
      <c r="O17" s="696"/>
      <c r="P17" s="696"/>
      <c r="Q17" s="696">
        <v>134.86429000000001</v>
      </c>
      <c r="R17" s="696"/>
    </row>
    <row r="18" spans="1:18" ht="13.5" thickBot="1" x14ac:dyDescent="0.3">
      <c r="A18" s="1492"/>
      <c r="B18" s="704" t="s">
        <v>522</v>
      </c>
      <c r="C18" s="713"/>
      <c r="D18" s="714">
        <f>SUM(D14:D17)</f>
        <v>802.37656000000004</v>
      </c>
      <c r="E18" s="714">
        <f>SUM(E14:E17)</f>
        <v>0</v>
      </c>
      <c r="F18" s="715">
        <f>SUM(D18:E18)</f>
        <v>802.37656000000004</v>
      </c>
      <c r="G18" s="14" t="s">
        <v>711</v>
      </c>
      <c r="H18" s="695"/>
      <c r="I18" s="703"/>
      <c r="J18" s="696"/>
      <c r="K18" s="696"/>
      <c r="L18" s="696"/>
      <c r="M18" s="696"/>
      <c r="N18" s="696"/>
      <c r="O18" s="696"/>
      <c r="P18" s="696"/>
      <c r="Q18" s="696"/>
      <c r="R18" s="696"/>
    </row>
    <row r="19" spans="1:18" x14ac:dyDescent="0.25">
      <c r="A19" s="1488" t="s">
        <v>538</v>
      </c>
      <c r="B19" s="692" t="s">
        <v>570</v>
      </c>
      <c r="C19" s="692"/>
      <c r="D19" s="717">
        <f t="shared" ref="D19:E22" si="1">D4+D9-D14</f>
        <v>1323.62554</v>
      </c>
      <c r="E19" s="717">
        <f t="shared" si="1"/>
        <v>0</v>
      </c>
      <c r="F19" s="694">
        <f>SUM(D19:E19)</f>
        <v>1323.62554</v>
      </c>
      <c r="G19" s="14"/>
      <c r="H19" s="695"/>
      <c r="I19" s="695"/>
      <c r="J19" s="696"/>
      <c r="K19" s="696"/>
      <c r="L19" s="696"/>
      <c r="M19" s="696"/>
      <c r="N19" s="696"/>
      <c r="O19" s="696"/>
      <c r="P19" s="696"/>
      <c r="Q19" s="696"/>
      <c r="R19" s="696">
        <f>R4+R9-R14</f>
        <v>1323.62554</v>
      </c>
    </row>
    <row r="20" spans="1:18" x14ac:dyDescent="0.25">
      <c r="A20" s="1488"/>
      <c r="B20" s="604" t="s">
        <v>571</v>
      </c>
      <c r="C20" s="604"/>
      <c r="D20" s="717">
        <f t="shared" si="1"/>
        <v>0</v>
      </c>
      <c r="E20" s="717">
        <f t="shared" si="1"/>
        <v>0</v>
      </c>
      <c r="F20" s="698">
        <f>SUM(D20:E20)</f>
        <v>0</v>
      </c>
      <c r="G20" s="14"/>
      <c r="H20" s="695"/>
      <c r="I20" s="695"/>
      <c r="J20" s="696"/>
      <c r="K20" s="696"/>
      <c r="L20" s="696"/>
      <c r="M20" s="696"/>
      <c r="N20" s="696"/>
      <c r="O20" s="696"/>
      <c r="P20" s="696"/>
      <c r="Q20" s="696"/>
      <c r="R20" s="696"/>
    </row>
    <row r="21" spans="1:18" x14ac:dyDescent="0.25">
      <c r="A21" s="1488"/>
      <c r="B21" s="604" t="s">
        <v>616</v>
      </c>
      <c r="C21" s="604"/>
      <c r="D21" s="717">
        <f t="shared" si="1"/>
        <v>150.60535000000004</v>
      </c>
      <c r="E21" s="717">
        <f t="shared" si="1"/>
        <v>44.366649999999986</v>
      </c>
      <c r="F21" s="700">
        <f>SUM(D21:E21)</f>
        <v>194.97200000000004</v>
      </c>
      <c r="G21" s="14"/>
      <c r="H21" s="695"/>
      <c r="I21" s="695"/>
      <c r="J21" s="696"/>
      <c r="K21" s="696">
        <f t="shared" ref="K21:P21" si="2">K6+K11-K16</f>
        <v>138.98982000000001</v>
      </c>
      <c r="L21" s="696">
        <f t="shared" si="2"/>
        <v>0.24349999999999739</v>
      </c>
      <c r="M21" s="696">
        <f t="shared" si="2"/>
        <v>11.61553</v>
      </c>
      <c r="N21" s="696">
        <f t="shared" si="2"/>
        <v>0</v>
      </c>
      <c r="O21" s="696">
        <f t="shared" si="2"/>
        <v>0</v>
      </c>
      <c r="P21" s="696">
        <f t="shared" si="2"/>
        <v>44.123149999999988</v>
      </c>
      <c r="Q21" s="696"/>
      <c r="R21" s="696"/>
    </row>
    <row r="22" spans="1:18" ht="13.5" thickBot="1" x14ac:dyDescent="0.3">
      <c r="A22" s="1488"/>
      <c r="B22" s="677" t="s">
        <v>617</v>
      </c>
      <c r="C22" s="604"/>
      <c r="D22" s="717">
        <f t="shared" si="1"/>
        <v>422.57800999999995</v>
      </c>
      <c r="E22" s="717">
        <f t="shared" si="1"/>
        <v>0</v>
      </c>
      <c r="F22" s="700">
        <f>SUM(D22:E22)</f>
        <v>422.57800999999995</v>
      </c>
      <c r="G22" s="14"/>
      <c r="H22" s="695">
        <f>H7+H12-H17</f>
        <v>0</v>
      </c>
      <c r="I22" s="695">
        <f>I7+I12-I17</f>
        <v>74.087760000000003</v>
      </c>
      <c r="J22" s="695">
        <f>J7+J12-J17</f>
        <v>13.415450000000007</v>
      </c>
      <c r="K22" s="696"/>
      <c r="L22" s="696"/>
      <c r="M22" s="696"/>
      <c r="N22" s="696"/>
      <c r="O22" s="696"/>
      <c r="P22" s="696"/>
      <c r="Q22" s="695">
        <f>Q7+Q12-Q17</f>
        <v>335.07479999999998</v>
      </c>
      <c r="R22" s="696"/>
    </row>
    <row r="23" spans="1:18" ht="13.5" thickBot="1" x14ac:dyDescent="0.3">
      <c r="A23" s="1489"/>
      <c r="B23" s="704" t="s">
        <v>522</v>
      </c>
      <c r="C23" s="704"/>
      <c r="D23" s="705">
        <f>SUM(D19:D22)</f>
        <v>1896.8089</v>
      </c>
      <c r="E23" s="705">
        <f>SUM(E19:E22)</f>
        <v>44.366649999999986</v>
      </c>
      <c r="F23" s="706">
        <f>SUM(F19:F22)</f>
        <v>1941.1755499999999</v>
      </c>
      <c r="G23" s="15" t="s">
        <v>712</v>
      </c>
      <c r="H23" s="696">
        <f t="shared" ref="H23:R23" si="3">SUM(H19:H22)</f>
        <v>0</v>
      </c>
      <c r="I23" s="696">
        <f t="shared" si="3"/>
        <v>74.087760000000003</v>
      </c>
      <c r="J23" s="696">
        <f t="shared" si="3"/>
        <v>13.415450000000007</v>
      </c>
      <c r="K23" s="696">
        <f t="shared" si="3"/>
        <v>138.98982000000001</v>
      </c>
      <c r="L23" s="696">
        <f t="shared" si="3"/>
        <v>0.24349999999999739</v>
      </c>
      <c r="M23" s="696">
        <f t="shared" si="3"/>
        <v>11.61553</v>
      </c>
      <c r="N23" s="696">
        <f t="shared" si="3"/>
        <v>0</v>
      </c>
      <c r="O23" s="696">
        <f t="shared" si="3"/>
        <v>0</v>
      </c>
      <c r="P23" s="696">
        <f t="shared" si="3"/>
        <v>44.123149999999988</v>
      </c>
      <c r="Q23" s="696">
        <f t="shared" si="3"/>
        <v>335.07479999999998</v>
      </c>
      <c r="R23" s="696">
        <f t="shared" si="3"/>
        <v>1323.62554</v>
      </c>
    </row>
    <row r="25" spans="1:18" x14ac:dyDescent="0.25">
      <c r="A25" s="718"/>
      <c r="D25" s="719"/>
      <c r="E25" s="592" t="s">
        <v>753</v>
      </c>
      <c r="F25" s="720">
        <f>1896.8089+44.36665</f>
        <v>1941.1755499999999</v>
      </c>
    </row>
    <row r="26" spans="1:18" x14ac:dyDescent="0.25">
      <c r="B26" s="718"/>
      <c r="E26" s="1046" t="s">
        <v>738</v>
      </c>
      <c r="F26" s="1069">
        <f>F25-F23</f>
        <v>0</v>
      </c>
      <c r="N26" s="1094" t="s">
        <v>1316</v>
      </c>
    </row>
    <row r="27" spans="1:18" x14ac:dyDescent="0.25">
      <c r="N27" s="1069">
        <v>1.1499999999999999</v>
      </c>
    </row>
  </sheetData>
  <sheetProtection insertRows="0" deleteRows="0"/>
  <mergeCells count="4">
    <mergeCell ref="A4:A8"/>
    <mergeCell ref="A9:A13"/>
    <mergeCell ref="A14:A18"/>
    <mergeCell ref="A19:A23"/>
  </mergeCells>
  <phoneticPr fontId="15" type="noConversion"/>
  <printOptions horizontalCentered="1"/>
  <pageMargins left="0.19685039370078741" right="0.19685039370078741" top="0.98425196850393704" bottom="0.98425196850393704" header="0.51181102362204722" footer="0.51181102362204722"/>
  <pageSetup paperSize="9" scale="62" orientation="landscape" cellComments="asDisplayed"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zoomScaleNormal="100" workbookViewId="0"/>
  </sheetViews>
  <sheetFormatPr defaultRowHeight="12.75" x14ac:dyDescent="0.2"/>
  <cols>
    <col min="1" max="1" width="12.85546875" style="722" customWidth="1"/>
    <col min="2" max="2" width="58.140625" style="722" customWidth="1"/>
    <col min="3" max="3" width="11.85546875" style="723" customWidth="1"/>
    <col min="4" max="16384" width="9.140625" style="722"/>
  </cols>
  <sheetData>
    <row r="1" spans="1:5" ht="15.75" x14ac:dyDescent="0.25">
      <c r="A1" s="721" t="s">
        <v>1312</v>
      </c>
    </row>
    <row r="2" spans="1:5" ht="13.5" thickBot="1" x14ac:dyDescent="0.25">
      <c r="C2" s="724" t="s">
        <v>517</v>
      </c>
    </row>
    <row r="3" spans="1:5" ht="13.5" thickBot="1" x14ac:dyDescent="0.25">
      <c r="A3" s="1478" t="s">
        <v>537</v>
      </c>
      <c r="B3" s="1479"/>
      <c r="C3" s="601">
        <v>0</v>
      </c>
    </row>
    <row r="4" spans="1:5" ht="13.5" thickBot="1" x14ac:dyDescent="0.25">
      <c r="A4" s="725" t="s">
        <v>539</v>
      </c>
      <c r="B4" s="726" t="s">
        <v>574</v>
      </c>
      <c r="C4" s="603">
        <v>0</v>
      </c>
      <c r="D4" s="727"/>
    </row>
    <row r="5" spans="1:5" x14ac:dyDescent="0.2">
      <c r="A5" s="1493" t="s">
        <v>544</v>
      </c>
      <c r="B5" s="726" t="s">
        <v>794</v>
      </c>
      <c r="C5" s="616">
        <v>0</v>
      </c>
      <c r="D5" s="728"/>
      <c r="E5" s="728"/>
    </row>
    <row r="6" spans="1:5" x14ac:dyDescent="0.2">
      <c r="A6" s="1494"/>
      <c r="B6" s="729"/>
      <c r="C6" s="605"/>
      <c r="D6" s="730"/>
      <c r="E6" s="731"/>
    </row>
    <row r="7" spans="1:5" x14ac:dyDescent="0.2">
      <c r="A7" s="1494"/>
      <c r="B7" s="732"/>
      <c r="C7" s="605"/>
      <c r="D7" s="730"/>
      <c r="E7" s="731"/>
    </row>
    <row r="8" spans="1:5" x14ac:dyDescent="0.2">
      <c r="A8" s="1494"/>
      <c r="B8" s="732"/>
      <c r="C8" s="605"/>
      <c r="D8" s="731"/>
      <c r="E8" s="731"/>
    </row>
    <row r="9" spans="1:5" ht="13.5" thickBot="1" x14ac:dyDescent="0.25">
      <c r="A9" s="1494"/>
      <c r="B9" s="733"/>
      <c r="C9" s="609"/>
      <c r="D9" s="734"/>
      <c r="E9" s="734"/>
    </row>
    <row r="10" spans="1:5" ht="13.5" thickBot="1" x14ac:dyDescent="0.25">
      <c r="A10" s="1495"/>
      <c r="B10" s="735" t="s">
        <v>521</v>
      </c>
      <c r="C10" s="736">
        <f>SUM(C5:C9)</f>
        <v>0</v>
      </c>
      <c r="D10" s="734"/>
      <c r="E10" s="734"/>
    </row>
    <row r="11" spans="1:5" ht="13.5" thickBot="1" x14ac:dyDescent="0.25">
      <c r="A11" s="1478" t="s">
        <v>538</v>
      </c>
      <c r="B11" s="1479"/>
      <c r="C11" s="737">
        <f>C3+C4-C10</f>
        <v>0</v>
      </c>
      <c r="D11" s="728"/>
      <c r="E11" s="728"/>
    </row>
    <row r="12" spans="1:5" x14ac:dyDescent="0.2">
      <c r="A12" s="728"/>
      <c r="B12" s="728"/>
      <c r="C12" s="738"/>
      <c r="D12" s="728"/>
      <c r="E12" s="728"/>
    </row>
    <row r="13" spans="1:5" x14ac:dyDescent="0.2">
      <c r="A13" s="728" t="s">
        <v>657</v>
      </c>
      <c r="B13" s="728"/>
      <c r="C13" s="738"/>
      <c r="D13" s="728"/>
      <c r="E13" s="728"/>
    </row>
    <row r="14" spans="1:5" x14ac:dyDescent="0.2">
      <c r="A14" s="739" t="s">
        <v>1258</v>
      </c>
      <c r="B14" s="728"/>
      <c r="C14" s="738"/>
      <c r="D14" s="728"/>
      <c r="E14" s="728"/>
    </row>
    <row r="15" spans="1:5" x14ac:dyDescent="0.2">
      <c r="B15" s="728"/>
      <c r="C15" s="738"/>
      <c r="D15" s="728"/>
      <c r="E15" s="728"/>
    </row>
    <row r="16" spans="1:5" x14ac:dyDescent="0.2">
      <c r="A16" s="728"/>
      <c r="B16" s="728"/>
      <c r="C16" s="738"/>
      <c r="D16" s="728"/>
      <c r="E16" s="728"/>
    </row>
    <row r="17" spans="1:5" x14ac:dyDescent="0.2">
      <c r="A17" s="740"/>
      <c r="B17" s="728"/>
      <c r="C17" s="738"/>
      <c r="D17" s="728"/>
      <c r="E17" s="728"/>
    </row>
    <row r="18" spans="1:5" x14ac:dyDescent="0.2">
      <c r="A18" s="741"/>
      <c r="B18" s="728"/>
      <c r="C18" s="738"/>
      <c r="D18" s="728"/>
      <c r="E18" s="728"/>
    </row>
    <row r="19" spans="1:5" x14ac:dyDescent="0.2">
      <c r="A19" s="728"/>
      <c r="B19" s="728"/>
      <c r="C19" s="738"/>
      <c r="D19" s="728"/>
      <c r="E19" s="728"/>
    </row>
    <row r="20" spans="1:5" x14ac:dyDescent="0.2">
      <c r="A20" s="728"/>
      <c r="B20" s="728"/>
      <c r="C20" s="738"/>
      <c r="D20" s="728"/>
      <c r="E20" s="728"/>
    </row>
    <row r="21" spans="1:5" x14ac:dyDescent="0.2">
      <c r="A21" s="728"/>
      <c r="B21" s="728"/>
      <c r="C21" s="738"/>
      <c r="D21" s="728"/>
      <c r="E21" s="728"/>
    </row>
    <row r="22" spans="1:5" x14ac:dyDescent="0.2">
      <c r="A22" s="728"/>
      <c r="B22" s="728"/>
      <c r="C22" s="738"/>
      <c r="D22" s="728"/>
      <c r="E22" s="728"/>
    </row>
    <row r="23" spans="1:5" x14ac:dyDescent="0.2">
      <c r="A23" s="728"/>
      <c r="B23" s="728"/>
      <c r="C23" s="738"/>
      <c r="D23" s="728"/>
      <c r="E23" s="728"/>
    </row>
    <row r="24" spans="1:5" x14ac:dyDescent="0.2">
      <c r="A24" s="728"/>
      <c r="B24" s="728"/>
      <c r="C24" s="738"/>
      <c r="D24" s="728"/>
      <c r="E24" s="728"/>
    </row>
    <row r="25" spans="1:5" x14ac:dyDescent="0.2">
      <c r="A25" s="728"/>
      <c r="B25" s="728"/>
      <c r="C25" s="738"/>
      <c r="D25" s="728"/>
      <c r="E25" s="728"/>
    </row>
  </sheetData>
  <sheetProtection insertRows="0" deleteRows="0"/>
  <mergeCells count="3">
    <mergeCell ref="A5:A10"/>
    <mergeCell ref="A3:B3"/>
    <mergeCell ref="A11:B11"/>
  </mergeCells>
  <phoneticPr fontId="15" type="noConversion"/>
  <printOptions horizontalCentered="1"/>
  <pageMargins left="0.78740157480314965" right="0.78740157480314965" top="0.98425196850393704" bottom="0.98425196850393704" header="0.51181102362204722" footer="0.51181102362204722"/>
  <pageSetup paperSize="9" orientation="landscape" horizontalDpi="300" verticalDpi="3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9"/>
  <sheetViews>
    <sheetView zoomScaleNormal="100" workbookViewId="0"/>
  </sheetViews>
  <sheetFormatPr defaultRowHeight="12.75" x14ac:dyDescent="0.2"/>
  <cols>
    <col min="1" max="1" width="12.7109375" style="612" customWidth="1"/>
    <col min="2" max="2" width="44.85546875" style="612" customWidth="1"/>
    <col min="3" max="3" width="12.85546875" style="641" bestFit="1" customWidth="1"/>
    <col min="4" max="4" width="15.28515625" style="612" customWidth="1"/>
    <col min="5" max="5" width="12.85546875" style="612" bestFit="1" customWidth="1"/>
    <col min="6" max="6" width="9.28515625" style="612" bestFit="1" customWidth="1"/>
    <col min="7" max="7" width="10.85546875" style="612" bestFit="1" customWidth="1"/>
    <col min="8" max="8" width="11.85546875" style="612" bestFit="1" customWidth="1"/>
    <col min="9" max="9" width="10.85546875" style="612" bestFit="1" customWidth="1"/>
    <col min="10" max="11" width="10.85546875" style="612" customWidth="1"/>
    <col min="12" max="12" width="12.85546875" style="612" bestFit="1" customWidth="1"/>
    <col min="13" max="16384" width="9.140625" style="612"/>
  </cols>
  <sheetData>
    <row r="1" spans="1:12" ht="15.75" x14ac:dyDescent="0.25">
      <c r="A1" s="742" t="s">
        <v>1313</v>
      </c>
      <c r="E1" s="1065"/>
      <c r="F1" s="743"/>
      <c r="G1" s="743"/>
      <c r="H1" s="743"/>
      <c r="I1" s="1066" t="s">
        <v>1037</v>
      </c>
      <c r="J1" s="743"/>
      <c r="K1" s="743"/>
      <c r="L1" s="744"/>
    </row>
    <row r="2" spans="1:12" ht="13.5" thickBot="1" x14ac:dyDescent="0.25">
      <c r="A2" s="611"/>
      <c r="B2" s="611"/>
      <c r="C2" s="745" t="s">
        <v>517</v>
      </c>
      <c r="E2" s="746">
        <v>1100</v>
      </c>
      <c r="F2" s="746" t="s">
        <v>755</v>
      </c>
      <c r="G2" s="746" t="s">
        <v>756</v>
      </c>
      <c r="H2" s="746" t="s">
        <v>1315</v>
      </c>
      <c r="I2" s="746" t="s">
        <v>757</v>
      </c>
      <c r="J2" s="1092" t="s">
        <v>1314</v>
      </c>
      <c r="K2" s="746" t="s">
        <v>706</v>
      </c>
      <c r="L2" s="746" t="s">
        <v>707</v>
      </c>
    </row>
    <row r="3" spans="1:12" ht="13.5" thickBot="1" x14ac:dyDescent="0.25">
      <c r="A3" s="1478" t="s">
        <v>537</v>
      </c>
      <c r="B3" s="1479"/>
      <c r="C3" s="601">
        <f>SUM(E3:L3)</f>
        <v>95450.464699999997</v>
      </c>
      <c r="D3" s="748" t="s">
        <v>758</v>
      </c>
      <c r="E3" s="1090">
        <v>90067.438450000001</v>
      </c>
      <c r="F3" s="1090">
        <v>0.8640000000000001</v>
      </c>
      <c r="G3" s="1091">
        <v>2845.1019999999999</v>
      </c>
      <c r="H3" s="1091">
        <v>0</v>
      </c>
      <c r="I3" s="1091">
        <v>2045.3300000000002</v>
      </c>
      <c r="J3" s="1091">
        <v>0</v>
      </c>
      <c r="K3" s="1091">
        <v>440.83025000000004</v>
      </c>
      <c r="L3" s="1091">
        <v>50.900000000000006</v>
      </c>
    </row>
    <row r="4" spans="1:12" x14ac:dyDescent="0.2">
      <c r="A4" s="1496" t="s">
        <v>539</v>
      </c>
      <c r="B4" s="726" t="s">
        <v>575</v>
      </c>
      <c r="C4" s="603">
        <f t="shared" ref="C4:C9" si="0">SUM(E4:L4)</f>
        <v>35775.847889999997</v>
      </c>
      <c r="D4" s="747"/>
      <c r="E4" s="750">
        <f>(13957.917+2179.298)+621.84459+15838.98039</f>
        <v>32598.039980000001</v>
      </c>
      <c r="F4" s="749">
        <v>1.605</v>
      </c>
      <c r="G4" s="749">
        <v>57.1</v>
      </c>
      <c r="H4" s="749">
        <v>8.2479999999999993</v>
      </c>
      <c r="I4" s="749">
        <v>36.658999999999999</v>
      </c>
      <c r="J4" s="749">
        <v>2816.1061</v>
      </c>
      <c r="K4" s="749">
        <v>203.08981</v>
      </c>
      <c r="L4" s="749">
        <v>55</v>
      </c>
    </row>
    <row r="5" spans="1:12" x14ac:dyDescent="0.2">
      <c r="A5" s="1497"/>
      <c r="B5" s="751" t="s">
        <v>540</v>
      </c>
      <c r="C5" s="605">
        <f t="shared" si="0"/>
        <v>0</v>
      </c>
      <c r="D5" s="747"/>
      <c r="E5" s="750"/>
      <c r="F5" s="750"/>
      <c r="G5" s="749"/>
      <c r="H5" s="749"/>
      <c r="I5" s="749"/>
      <c r="J5" s="749"/>
      <c r="K5" s="749"/>
      <c r="L5" s="749"/>
    </row>
    <row r="6" spans="1:12" x14ac:dyDescent="0.2">
      <c r="A6" s="1497"/>
      <c r="B6" s="751" t="s">
        <v>541</v>
      </c>
      <c r="C6" s="605">
        <f t="shared" si="0"/>
        <v>0</v>
      </c>
      <c r="D6" s="752"/>
      <c r="E6" s="750"/>
      <c r="F6" s="750"/>
      <c r="G6" s="749"/>
      <c r="H6" s="749"/>
      <c r="I6" s="749"/>
      <c r="J6" s="749"/>
      <c r="K6" s="749"/>
      <c r="L6" s="749"/>
    </row>
    <row r="7" spans="1:12" x14ac:dyDescent="0.2">
      <c r="A7" s="1497"/>
      <c r="B7" s="751" t="s">
        <v>542</v>
      </c>
      <c r="C7" s="605">
        <f t="shared" si="0"/>
        <v>0</v>
      </c>
      <c r="D7" s="752"/>
      <c r="E7" s="750"/>
      <c r="F7" s="750"/>
      <c r="G7" s="749"/>
      <c r="H7" s="749"/>
      <c r="I7" s="749"/>
      <c r="J7" s="749"/>
      <c r="K7" s="749"/>
      <c r="L7" s="749"/>
    </row>
    <row r="8" spans="1:12" x14ac:dyDescent="0.2">
      <c r="A8" s="1497"/>
      <c r="B8" s="751" t="s">
        <v>565</v>
      </c>
      <c r="C8" s="605">
        <f t="shared" si="0"/>
        <v>0</v>
      </c>
      <c r="D8" s="752"/>
      <c r="E8" s="750"/>
      <c r="F8" s="750"/>
      <c r="G8" s="749"/>
      <c r="H8" s="749"/>
      <c r="I8" s="749"/>
      <c r="J8" s="749"/>
      <c r="K8" s="749"/>
      <c r="L8" s="749"/>
    </row>
    <row r="9" spans="1:12" ht="13.5" thickBot="1" x14ac:dyDescent="0.25">
      <c r="A9" s="1497"/>
      <c r="B9" s="751" t="s">
        <v>792</v>
      </c>
      <c r="C9" s="605">
        <f t="shared" si="0"/>
        <v>0</v>
      </c>
      <c r="D9" s="752"/>
      <c r="E9" s="750"/>
      <c r="F9" s="750"/>
      <c r="G9" s="749"/>
      <c r="H9" s="749"/>
      <c r="I9" s="749"/>
      <c r="J9" s="749"/>
      <c r="K9" s="749"/>
      <c r="L9" s="749"/>
    </row>
    <row r="10" spans="1:12" ht="13.5" thickBot="1" x14ac:dyDescent="0.25">
      <c r="A10" s="1498"/>
      <c r="B10" s="753" t="s">
        <v>521</v>
      </c>
      <c r="C10" s="607">
        <f>SUM(C4:C9)</f>
        <v>35775.847889999997</v>
      </c>
      <c r="D10" s="754" t="s">
        <v>759</v>
      </c>
      <c r="E10" s="755"/>
      <c r="F10" s="755"/>
      <c r="G10" s="749"/>
      <c r="H10" s="749"/>
      <c r="I10" s="749"/>
      <c r="J10" s="749"/>
      <c r="K10" s="749"/>
      <c r="L10" s="749"/>
    </row>
    <row r="11" spans="1:12" x14ac:dyDescent="0.2">
      <c r="A11" s="1493" t="s">
        <v>544</v>
      </c>
      <c r="B11" s="726" t="s">
        <v>576</v>
      </c>
      <c r="C11" s="603">
        <f>SUM(E11:L11)</f>
        <v>2173.5931399999999</v>
      </c>
      <c r="D11" s="769" t="s">
        <v>760</v>
      </c>
      <c r="E11" s="756">
        <v>2173.5931399999999</v>
      </c>
      <c r="F11" s="756">
        <v>0</v>
      </c>
      <c r="G11" s="749">
        <v>0</v>
      </c>
      <c r="H11" s="749">
        <v>0</v>
      </c>
      <c r="I11" s="749">
        <v>0</v>
      </c>
      <c r="J11" s="749">
        <v>0</v>
      </c>
      <c r="K11" s="749">
        <v>0</v>
      </c>
      <c r="L11" s="749">
        <v>0</v>
      </c>
    </row>
    <row r="12" spans="1:12" x14ac:dyDescent="0.2">
      <c r="A12" s="1494"/>
      <c r="B12" s="751" t="s">
        <v>546</v>
      </c>
      <c r="C12" s="605">
        <f>SUM(E12:L12)</f>
        <v>0</v>
      </c>
      <c r="D12" s="757"/>
      <c r="E12" s="756"/>
      <c r="F12" s="756"/>
      <c r="G12" s="749"/>
      <c r="H12" s="749"/>
      <c r="I12" s="749"/>
      <c r="J12" s="749"/>
      <c r="K12" s="749"/>
      <c r="L12" s="749"/>
    </row>
    <row r="13" spans="1:12" x14ac:dyDescent="0.2">
      <c r="A13" s="1494"/>
      <c r="B13" s="751" t="s">
        <v>547</v>
      </c>
      <c r="C13" s="605">
        <f>SUM(E13:L13)</f>
        <v>0</v>
      </c>
      <c r="D13" s="757"/>
      <c r="E13" s="756"/>
      <c r="F13" s="756"/>
      <c r="G13" s="749"/>
      <c r="H13" s="749"/>
      <c r="I13" s="749"/>
      <c r="J13" s="749"/>
      <c r="K13" s="749"/>
      <c r="L13" s="749"/>
    </row>
    <row r="14" spans="1:12" x14ac:dyDescent="0.2">
      <c r="A14" s="1494"/>
      <c r="B14" s="751" t="s">
        <v>567</v>
      </c>
      <c r="C14" s="605">
        <f>SUM(E14:L14)</f>
        <v>0</v>
      </c>
      <c r="D14" s="758"/>
      <c r="E14" s="756"/>
      <c r="F14" s="756"/>
      <c r="G14" s="749"/>
      <c r="H14" s="749"/>
      <c r="I14" s="749"/>
      <c r="J14" s="749"/>
      <c r="K14" s="749"/>
      <c r="L14" s="749"/>
    </row>
    <row r="15" spans="1:12" ht="13.5" thickBot="1" x14ac:dyDescent="0.25">
      <c r="A15" s="1494"/>
      <c r="B15" s="759" t="s">
        <v>793</v>
      </c>
      <c r="C15" s="609">
        <f>SUM(E15:L15)</f>
        <v>0</v>
      </c>
      <c r="D15" s="758"/>
      <c r="E15" s="756"/>
      <c r="F15" s="756"/>
      <c r="G15" s="749"/>
      <c r="H15" s="749"/>
      <c r="I15" s="749"/>
      <c r="J15" s="749"/>
      <c r="K15" s="749"/>
      <c r="L15" s="749"/>
    </row>
    <row r="16" spans="1:12" ht="13.5" thickBot="1" x14ac:dyDescent="0.25">
      <c r="A16" s="1495"/>
      <c r="B16" s="753" t="s">
        <v>521</v>
      </c>
      <c r="C16" s="607">
        <f>SUM(C11:C15)</f>
        <v>2173.5931399999999</v>
      </c>
      <c r="D16" s="754" t="s">
        <v>761</v>
      </c>
      <c r="E16" s="755"/>
      <c r="F16" s="755"/>
      <c r="G16" s="749"/>
      <c r="H16" s="749"/>
      <c r="I16" s="749"/>
      <c r="J16" s="749"/>
      <c r="K16" s="749"/>
      <c r="L16" s="749"/>
    </row>
    <row r="17" spans="1:12" ht="13.5" thickBot="1" x14ac:dyDescent="0.25">
      <c r="A17" s="1478" t="s">
        <v>538</v>
      </c>
      <c r="B17" s="1479"/>
      <c r="C17" s="607">
        <f>C3+C10-C16</f>
        <v>129052.71944999999</v>
      </c>
      <c r="D17" s="754" t="s">
        <v>762</v>
      </c>
      <c r="E17" s="755">
        <f t="shared" ref="E17:L17" si="1">E3+SUM(E4:E9)-SUM(E11:E15)</f>
        <v>120491.88529000001</v>
      </c>
      <c r="F17" s="755">
        <f t="shared" si="1"/>
        <v>2.4690000000000003</v>
      </c>
      <c r="G17" s="755">
        <f t="shared" si="1"/>
        <v>2902.2019999999998</v>
      </c>
      <c r="H17" s="755">
        <f t="shared" ref="H17" si="2">H3+SUM(H4:H9)-SUM(H11:H15)</f>
        <v>8.2479999999999993</v>
      </c>
      <c r="I17" s="755">
        <f t="shared" si="1"/>
        <v>2081.989</v>
      </c>
      <c r="J17" s="755">
        <f t="shared" si="1"/>
        <v>2816.1061</v>
      </c>
      <c r="K17" s="755">
        <f t="shared" si="1"/>
        <v>643.92006000000003</v>
      </c>
      <c r="L17" s="755">
        <f t="shared" si="1"/>
        <v>105.9</v>
      </c>
    </row>
    <row r="18" spans="1:12" x14ac:dyDescent="0.2">
      <c r="A18" s="760"/>
      <c r="B18" s="760"/>
      <c r="C18" s="761"/>
      <c r="D18" s="760"/>
      <c r="E18" s="762"/>
      <c r="F18" s="762"/>
      <c r="G18" s="763"/>
      <c r="H18" s="763"/>
      <c r="I18" s="763"/>
      <c r="J18" s="763"/>
      <c r="K18" s="763" t="s">
        <v>753</v>
      </c>
      <c r="L18" s="763">
        <v>129052.71945</v>
      </c>
    </row>
    <row r="19" spans="1:12" x14ac:dyDescent="0.2">
      <c r="A19" s="14" t="s">
        <v>657</v>
      </c>
      <c r="B19" s="760"/>
      <c r="C19" s="761"/>
      <c r="D19" s="760"/>
      <c r="E19" s="762"/>
      <c r="F19" s="762"/>
      <c r="G19" s="763"/>
      <c r="H19" s="763"/>
      <c r="I19" s="763"/>
      <c r="J19" s="763"/>
      <c r="K19" s="1067" t="s">
        <v>738</v>
      </c>
      <c r="L19" s="1067">
        <f>C17-L18</f>
        <v>0</v>
      </c>
    </row>
    <row r="20" spans="1:12" x14ac:dyDescent="0.2">
      <c r="A20" s="14" t="s">
        <v>1256</v>
      </c>
      <c r="B20" s="760"/>
      <c r="C20" s="761"/>
      <c r="D20" s="760"/>
      <c r="E20" s="754"/>
      <c r="F20" s="754"/>
    </row>
    <row r="21" spans="1:12" x14ac:dyDescent="0.2">
      <c r="A21" s="760"/>
      <c r="B21" s="760"/>
      <c r="C21" s="761"/>
      <c r="D21" s="760"/>
      <c r="E21" s="754"/>
      <c r="F21" s="754"/>
    </row>
    <row r="22" spans="1:12" x14ac:dyDescent="0.2">
      <c r="A22" s="760"/>
      <c r="B22" s="760"/>
      <c r="C22" s="761"/>
      <c r="D22" s="760"/>
      <c r="E22" s="754"/>
      <c r="F22" s="754"/>
    </row>
    <row r="23" spans="1:12" x14ac:dyDescent="0.2">
      <c r="A23" s="754"/>
      <c r="B23" s="754"/>
      <c r="C23" s="764"/>
      <c r="D23" s="754"/>
      <c r="E23" s="754"/>
      <c r="F23" s="754"/>
    </row>
    <row r="24" spans="1:12" x14ac:dyDescent="0.2">
      <c r="A24" s="754"/>
      <c r="B24" s="754"/>
      <c r="C24" s="764"/>
      <c r="D24" s="754"/>
      <c r="E24" s="754"/>
      <c r="F24" s="754"/>
    </row>
    <row r="25" spans="1:12" x14ac:dyDescent="0.2">
      <c r="A25" s="754"/>
      <c r="B25" s="754"/>
      <c r="C25" s="764"/>
      <c r="D25" s="754"/>
      <c r="E25" s="754"/>
      <c r="F25" s="754"/>
    </row>
    <row r="26" spans="1:12" x14ac:dyDescent="0.2">
      <c r="A26" s="754"/>
      <c r="B26" s="754"/>
      <c r="C26" s="764"/>
      <c r="D26" s="754"/>
      <c r="E26" s="754"/>
      <c r="F26" s="754"/>
    </row>
    <row r="27" spans="1:12" x14ac:dyDescent="0.2">
      <c r="A27" s="754"/>
      <c r="B27" s="754"/>
      <c r="C27" s="764"/>
      <c r="D27" s="754"/>
      <c r="E27" s="754"/>
      <c r="F27" s="754"/>
    </row>
    <row r="28" spans="1:12" x14ac:dyDescent="0.2">
      <c r="A28" s="754"/>
      <c r="B28" s="754"/>
      <c r="C28" s="764"/>
      <c r="D28" s="754"/>
      <c r="E28" s="754"/>
      <c r="F28" s="754"/>
    </row>
    <row r="29" spans="1:12" x14ac:dyDescent="0.2">
      <c r="A29" s="754"/>
      <c r="B29" s="754"/>
      <c r="C29" s="764"/>
      <c r="D29" s="754"/>
      <c r="E29" s="754"/>
      <c r="F29" s="754"/>
    </row>
  </sheetData>
  <sheetProtection insertRows="0" deleteRows="0"/>
  <mergeCells count="4">
    <mergeCell ref="A4:A10"/>
    <mergeCell ref="A11:A16"/>
    <mergeCell ref="A3:B3"/>
    <mergeCell ref="A17:B17"/>
  </mergeCells>
  <phoneticPr fontId="15" type="noConversion"/>
  <printOptions horizontalCentered="1"/>
  <pageMargins left="0.78740157480314965" right="0.78740157480314965" top="0.98425196850393704" bottom="0.98425196850393704" header="0.51181102362204722" footer="0.51181102362204722"/>
  <pageSetup paperSize="9" scale="73"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zoomScaleNormal="100" workbookViewId="0">
      <pane ySplit="5" topLeftCell="A67" activePane="bottomLeft" state="frozenSplit"/>
      <selection activeCell="I48" sqref="I48:I49"/>
      <selection pane="bottomLeft" activeCell="D92" sqref="D92:E92"/>
    </sheetView>
  </sheetViews>
  <sheetFormatPr defaultRowHeight="12.75" x14ac:dyDescent="0.25"/>
  <cols>
    <col min="1" max="1" width="60.42578125" style="964" customWidth="1"/>
    <col min="2" max="2" width="13.85546875" style="1006" customWidth="1"/>
    <col min="3" max="3" width="9.140625" style="1006"/>
    <col min="4" max="5" width="13.140625" style="959" customWidth="1"/>
    <col min="6" max="6" width="13.140625" style="958" customWidth="1"/>
    <col min="7" max="16384" width="9.140625" style="958"/>
  </cols>
  <sheetData>
    <row r="1" spans="1:6" ht="15.75" x14ac:dyDescent="0.25">
      <c r="A1" s="1179" t="s">
        <v>1277</v>
      </c>
      <c r="B1" s="1179"/>
      <c r="C1" s="1179"/>
      <c r="D1" s="1179"/>
      <c r="E1" s="1179"/>
    </row>
    <row r="2" spans="1:6" ht="12.75" customHeight="1" thickBot="1" x14ac:dyDescent="0.3">
      <c r="A2" s="1180" t="s">
        <v>1276</v>
      </c>
      <c r="B2" s="1180"/>
      <c r="C2" s="1180"/>
      <c r="D2" s="1180"/>
      <c r="E2" s="1180"/>
    </row>
    <row r="3" spans="1:6" ht="27.95" customHeight="1" thickBot="1" x14ac:dyDescent="0.3">
      <c r="A3" s="1168" t="s">
        <v>678</v>
      </c>
      <c r="B3" s="1169"/>
      <c r="C3" s="1169"/>
      <c r="D3" s="1169"/>
      <c r="E3" s="1170"/>
      <c r="F3" s="980"/>
    </row>
    <row r="4" spans="1:6" ht="15" customHeight="1" thickBot="1" x14ac:dyDescent="0.3">
      <c r="A4" s="1154" t="s">
        <v>626</v>
      </c>
      <c r="B4" s="1155"/>
      <c r="C4" s="1155"/>
      <c r="D4" s="1155"/>
      <c r="E4" s="1156"/>
    </row>
    <row r="5" spans="1:6" s="1021" customFormat="1" ht="40.5" customHeight="1" thickBot="1" x14ac:dyDescent="0.3">
      <c r="A5" s="1029" t="s">
        <v>627</v>
      </c>
      <c r="B5" s="1028" t="s">
        <v>912</v>
      </c>
      <c r="C5" s="1027" t="s">
        <v>679</v>
      </c>
      <c r="D5" s="1026" t="s">
        <v>916</v>
      </c>
      <c r="E5" s="1025" t="s">
        <v>917</v>
      </c>
      <c r="F5" s="1087" t="s">
        <v>536</v>
      </c>
    </row>
    <row r="6" spans="1:6" s="1021" customFormat="1" ht="12.75" customHeight="1" x14ac:dyDescent="0.25">
      <c r="A6" s="1024" t="s">
        <v>383</v>
      </c>
      <c r="B6" s="1181"/>
      <c r="C6" s="1182"/>
      <c r="D6" s="1023" t="s">
        <v>605</v>
      </c>
      <c r="E6" s="1022" t="s">
        <v>523</v>
      </c>
      <c r="F6" s="1086" t="s">
        <v>1302</v>
      </c>
    </row>
    <row r="7" spans="1:6" x14ac:dyDescent="0.25">
      <c r="A7" s="985" t="s">
        <v>384</v>
      </c>
      <c r="B7" s="1020" t="s">
        <v>385</v>
      </c>
      <c r="C7" s="1015" t="s">
        <v>5</v>
      </c>
      <c r="D7" s="1071">
        <f>SUM(D8:D11)</f>
        <v>48867.670000000006</v>
      </c>
      <c r="E7" s="1072">
        <f>SUM(E8:E11)</f>
        <v>115.71999999999979</v>
      </c>
      <c r="F7" s="1073">
        <f>SUM(F8:F11)</f>
        <v>48983.389999999992</v>
      </c>
    </row>
    <row r="8" spans="1:6" x14ac:dyDescent="0.25">
      <c r="A8" s="974" t="s">
        <v>386</v>
      </c>
      <c r="B8" s="1019">
        <v>501</v>
      </c>
      <c r="C8" s="1011" t="s">
        <v>8</v>
      </c>
      <c r="D8" s="1074">
        <f>'2'!D8-'2b Koleje a menzy'!D8</f>
        <v>28664.55</v>
      </c>
      <c r="E8" s="1075">
        <f>'2'!E8-'2b Koleje a menzy'!E8</f>
        <v>115.48000000000002</v>
      </c>
      <c r="F8" s="1076">
        <f t="shared" ref="F8:F48" si="0">D8+E8</f>
        <v>28780.03</v>
      </c>
    </row>
    <row r="9" spans="1:6" x14ac:dyDescent="0.25">
      <c r="A9" s="974" t="s">
        <v>387</v>
      </c>
      <c r="B9" s="1019">
        <v>502</v>
      </c>
      <c r="C9" s="1011" t="s">
        <v>11</v>
      </c>
      <c r="D9" s="1074">
        <f>'2'!D9-'2b Koleje a menzy'!D9</f>
        <v>17480.080000000002</v>
      </c>
      <c r="E9" s="1075">
        <f>'2'!E9-'2b Koleje a menzy'!E9</f>
        <v>9.9999999997635314E-3</v>
      </c>
      <c r="F9" s="1076">
        <f t="shared" si="0"/>
        <v>17480.09</v>
      </c>
    </row>
    <row r="10" spans="1:6" x14ac:dyDescent="0.25">
      <c r="A10" s="974" t="s">
        <v>388</v>
      </c>
      <c r="B10" s="1019">
        <v>503</v>
      </c>
      <c r="C10" s="1011" t="s">
        <v>14</v>
      </c>
      <c r="D10" s="1074">
        <f>'2'!D10-'2b Koleje a menzy'!D10</f>
        <v>2550.44</v>
      </c>
      <c r="E10" s="1075">
        <f>'2'!E10-'2b Koleje a menzy'!E10</f>
        <v>0.23000000000000043</v>
      </c>
      <c r="F10" s="1076">
        <f t="shared" si="0"/>
        <v>2550.67</v>
      </c>
    </row>
    <row r="11" spans="1:6" x14ac:dyDescent="0.25">
      <c r="A11" s="974" t="s">
        <v>389</v>
      </c>
      <c r="B11" s="1019">
        <v>504</v>
      </c>
      <c r="C11" s="1011" t="s">
        <v>17</v>
      </c>
      <c r="D11" s="1074">
        <f>'2'!D11-'2b Koleje a menzy'!D11</f>
        <v>172.6</v>
      </c>
      <c r="E11" s="1075">
        <f>'2'!E11-'2b Koleje a menzy'!E11</f>
        <v>0</v>
      </c>
      <c r="F11" s="1076">
        <f t="shared" si="0"/>
        <v>172.6</v>
      </c>
    </row>
    <row r="12" spans="1:6" x14ac:dyDescent="0.25">
      <c r="A12" s="974" t="s">
        <v>390</v>
      </c>
      <c r="B12" s="1019" t="s">
        <v>391</v>
      </c>
      <c r="C12" s="1011" t="s">
        <v>20</v>
      </c>
      <c r="D12" s="1077">
        <f>SUM(D13:D16)</f>
        <v>83816.91</v>
      </c>
      <c r="E12" s="1078">
        <f>SUM(E13:E16)</f>
        <v>237.54999999999995</v>
      </c>
      <c r="F12" s="1076">
        <f t="shared" si="0"/>
        <v>84054.46</v>
      </c>
    </row>
    <row r="13" spans="1:6" x14ac:dyDescent="0.25">
      <c r="A13" s="974" t="s">
        <v>392</v>
      </c>
      <c r="B13" s="1019">
        <v>511</v>
      </c>
      <c r="C13" s="1011" t="s">
        <v>23</v>
      </c>
      <c r="D13" s="1074">
        <f>'2'!D13-'2b Koleje a menzy'!D13</f>
        <v>7348.55</v>
      </c>
      <c r="E13" s="1075">
        <f>'2'!E13-'2b Koleje a menzy'!E13</f>
        <v>2.1599999999999682</v>
      </c>
      <c r="F13" s="1076">
        <f t="shared" si="0"/>
        <v>7350.71</v>
      </c>
    </row>
    <row r="14" spans="1:6" x14ac:dyDescent="0.25">
      <c r="A14" s="974" t="s">
        <v>393</v>
      </c>
      <c r="B14" s="1019">
        <v>512</v>
      </c>
      <c r="C14" s="1011" t="s">
        <v>26</v>
      </c>
      <c r="D14" s="1074">
        <f>'2'!D14-'2b Koleje a menzy'!D14</f>
        <v>25908.81</v>
      </c>
      <c r="E14" s="1075">
        <f>'2'!E14-'2b Koleje a menzy'!E14</f>
        <v>89.6</v>
      </c>
      <c r="F14" s="1076">
        <f t="shared" si="0"/>
        <v>25998.41</v>
      </c>
    </row>
    <row r="15" spans="1:6" x14ac:dyDescent="0.25">
      <c r="A15" s="974" t="s">
        <v>394</v>
      </c>
      <c r="B15" s="1019">
        <v>513</v>
      </c>
      <c r="C15" s="1011" t="s">
        <v>29</v>
      </c>
      <c r="D15" s="1074">
        <f>'2'!D15-'2b Koleje a menzy'!D15</f>
        <v>1327.46</v>
      </c>
      <c r="E15" s="1075">
        <f>'2'!E15-'2b Koleje a menzy'!E15</f>
        <v>1.29</v>
      </c>
      <c r="F15" s="1076">
        <f t="shared" si="0"/>
        <v>1328.75</v>
      </c>
    </row>
    <row r="16" spans="1:6" x14ac:dyDescent="0.25">
      <c r="A16" s="974" t="s">
        <v>395</v>
      </c>
      <c r="B16" s="1019">
        <v>518</v>
      </c>
      <c r="C16" s="1011" t="s">
        <v>32</v>
      </c>
      <c r="D16" s="1074">
        <f>'2'!D16-'2b Koleje a menzy'!D16</f>
        <v>49232.09</v>
      </c>
      <c r="E16" s="1075">
        <f>'2'!E16-'2b Koleje a menzy'!E16</f>
        <v>144.5</v>
      </c>
      <c r="F16" s="1076">
        <f t="shared" si="0"/>
        <v>49376.59</v>
      </c>
    </row>
    <row r="17" spans="1:6" x14ac:dyDescent="0.25">
      <c r="A17" s="974" t="s">
        <v>396</v>
      </c>
      <c r="B17" s="1019" t="s">
        <v>397</v>
      </c>
      <c r="C17" s="1011" t="s">
        <v>35</v>
      </c>
      <c r="D17" s="1077">
        <f>SUM(D18:D22)</f>
        <v>520863.55</v>
      </c>
      <c r="E17" s="1078">
        <f>SUM(E18:E22)</f>
        <v>1930.4700000000003</v>
      </c>
      <c r="F17" s="1076">
        <f t="shared" si="0"/>
        <v>522794.01999999996</v>
      </c>
    </row>
    <row r="18" spans="1:6" x14ac:dyDescent="0.25">
      <c r="A18" s="974" t="s">
        <v>398</v>
      </c>
      <c r="B18" s="1019">
        <v>521</v>
      </c>
      <c r="C18" s="1011" t="s">
        <v>38</v>
      </c>
      <c r="D18" s="1074">
        <f>'2'!D18-'2b Koleje a menzy'!D18</f>
        <v>390158.67</v>
      </c>
      <c r="E18" s="1075">
        <f>'2'!E18-'2b Koleje a menzy'!E18</f>
        <v>1525.2400000000002</v>
      </c>
      <c r="F18" s="1076">
        <f t="shared" si="0"/>
        <v>391683.91</v>
      </c>
    </row>
    <row r="19" spans="1:6" x14ac:dyDescent="0.25">
      <c r="A19" s="974" t="s">
        <v>415</v>
      </c>
      <c r="B19" s="1019">
        <v>524</v>
      </c>
      <c r="C19" s="1011" t="s">
        <v>41</v>
      </c>
      <c r="D19" s="1074">
        <f>'2'!D19-'2b Koleje a menzy'!D19</f>
        <v>124323.8</v>
      </c>
      <c r="E19" s="1075">
        <f>'2'!E19-'2b Koleje a menzy'!E19</f>
        <v>405.23</v>
      </c>
      <c r="F19" s="1076">
        <f t="shared" si="0"/>
        <v>124729.03</v>
      </c>
    </row>
    <row r="20" spans="1:6" x14ac:dyDescent="0.25">
      <c r="A20" s="974" t="s">
        <v>416</v>
      </c>
      <c r="B20" s="1019">
        <v>525</v>
      </c>
      <c r="C20" s="1011" t="s">
        <v>44</v>
      </c>
      <c r="D20" s="1074">
        <f>'2'!D20-'2b Koleje a menzy'!D20</f>
        <v>0</v>
      </c>
      <c r="E20" s="1075">
        <f>'2'!E20-'2b Koleje a menzy'!E20</f>
        <v>0</v>
      </c>
      <c r="F20" s="1076">
        <f t="shared" si="0"/>
        <v>0</v>
      </c>
    </row>
    <row r="21" spans="1:6" x14ac:dyDescent="0.25">
      <c r="A21" s="974" t="s">
        <v>417</v>
      </c>
      <c r="B21" s="1019">
        <v>527</v>
      </c>
      <c r="C21" s="1011" t="s">
        <v>47</v>
      </c>
      <c r="D21" s="1074">
        <f>'2'!D21-'2b Koleje a menzy'!D21</f>
        <v>6381.0800000000008</v>
      </c>
      <c r="E21" s="1075">
        <f>'2'!E21-'2b Koleje a menzy'!E21</f>
        <v>0</v>
      </c>
      <c r="F21" s="1076">
        <f t="shared" si="0"/>
        <v>6381.0800000000008</v>
      </c>
    </row>
    <row r="22" spans="1:6" x14ac:dyDescent="0.25">
      <c r="A22" s="974" t="s">
        <v>418</v>
      </c>
      <c r="B22" s="1019">
        <v>528</v>
      </c>
      <c r="C22" s="1011" t="s">
        <v>50</v>
      </c>
      <c r="D22" s="1074">
        <f>'2'!D22-'2b Koleje a menzy'!D22</f>
        <v>0</v>
      </c>
      <c r="E22" s="1075">
        <f>'2'!E22-'2b Koleje a menzy'!E22</f>
        <v>0</v>
      </c>
      <c r="F22" s="1076">
        <f t="shared" si="0"/>
        <v>0</v>
      </c>
    </row>
    <row r="23" spans="1:6" x14ac:dyDescent="0.25">
      <c r="A23" s="974" t="s">
        <v>419</v>
      </c>
      <c r="B23" s="1019" t="s">
        <v>420</v>
      </c>
      <c r="C23" s="1011" t="s">
        <v>53</v>
      </c>
      <c r="D23" s="1077">
        <f>SUM(D24:D26)</f>
        <v>83.34</v>
      </c>
      <c r="E23" s="1078">
        <f>SUM(E24:E26)</f>
        <v>0</v>
      </c>
      <c r="F23" s="1076">
        <f t="shared" si="0"/>
        <v>83.34</v>
      </c>
    </row>
    <row r="24" spans="1:6" x14ac:dyDescent="0.25">
      <c r="A24" s="974" t="s">
        <v>421</v>
      </c>
      <c r="B24" s="1019">
        <v>531</v>
      </c>
      <c r="C24" s="1011" t="s">
        <v>56</v>
      </c>
      <c r="D24" s="1074">
        <f>'2'!D24-'2b Koleje a menzy'!D24</f>
        <v>51.28</v>
      </c>
      <c r="E24" s="1075">
        <f>'2'!E24-'2b Koleje a menzy'!E24</f>
        <v>0</v>
      </c>
      <c r="F24" s="1076">
        <f t="shared" si="0"/>
        <v>51.28</v>
      </c>
    </row>
    <row r="25" spans="1:6" x14ac:dyDescent="0.25">
      <c r="A25" s="974" t="s">
        <v>422</v>
      </c>
      <c r="B25" s="1019">
        <v>532</v>
      </c>
      <c r="C25" s="1011" t="s">
        <v>59</v>
      </c>
      <c r="D25" s="1074">
        <f>'2'!D25-'2b Koleje a menzy'!D25</f>
        <v>25.18</v>
      </c>
      <c r="E25" s="1075">
        <f>'2'!E25-'2b Koleje a menzy'!E25</f>
        <v>0</v>
      </c>
      <c r="F25" s="1076">
        <f t="shared" si="0"/>
        <v>25.18</v>
      </c>
    </row>
    <row r="26" spans="1:6" x14ac:dyDescent="0.25">
      <c r="A26" s="974" t="s">
        <v>423</v>
      </c>
      <c r="B26" s="1019">
        <v>538</v>
      </c>
      <c r="C26" s="1011" t="s">
        <v>62</v>
      </c>
      <c r="D26" s="1074">
        <f>'2'!D26-'2b Koleje a menzy'!D26</f>
        <v>6.88</v>
      </c>
      <c r="E26" s="1075">
        <f>'2'!E26-'2b Koleje a menzy'!E26</f>
        <v>0</v>
      </c>
      <c r="F26" s="1076">
        <f t="shared" si="0"/>
        <v>6.88</v>
      </c>
    </row>
    <row r="27" spans="1:6" x14ac:dyDescent="0.25">
      <c r="A27" s="974" t="s">
        <v>424</v>
      </c>
      <c r="B27" s="1019" t="s">
        <v>425</v>
      </c>
      <c r="C27" s="1011" t="s">
        <v>65</v>
      </c>
      <c r="D27" s="1077">
        <f>SUM(D28:D35)</f>
        <v>130586.83000000002</v>
      </c>
      <c r="E27" s="1078">
        <f>SUM(E28:E35)</f>
        <v>118.35999999999999</v>
      </c>
      <c r="F27" s="1076">
        <f t="shared" si="0"/>
        <v>130705.19000000002</v>
      </c>
    </row>
    <row r="28" spans="1:6" x14ac:dyDescent="0.25">
      <c r="A28" s="974" t="s">
        <v>426</v>
      </c>
      <c r="B28" s="1019">
        <v>541</v>
      </c>
      <c r="C28" s="1011" t="s">
        <v>68</v>
      </c>
      <c r="D28" s="1074">
        <f>'2'!D28-'2b Koleje a menzy'!D28</f>
        <v>3.3</v>
      </c>
      <c r="E28" s="1075">
        <f>'2'!E28-'2b Koleje a menzy'!E28</f>
        <v>0</v>
      </c>
      <c r="F28" s="1076">
        <f t="shared" si="0"/>
        <v>3.3</v>
      </c>
    </row>
    <row r="29" spans="1:6" x14ac:dyDescent="0.25">
      <c r="A29" s="974" t="s">
        <v>427</v>
      </c>
      <c r="B29" s="1019">
        <v>542</v>
      </c>
      <c r="C29" s="1011" t="s">
        <v>71</v>
      </c>
      <c r="D29" s="1074">
        <f>'2'!D29-'2b Koleje a menzy'!D29</f>
        <v>1868.02</v>
      </c>
      <c r="E29" s="1075">
        <f>'2'!E29-'2b Koleje a menzy'!E29</f>
        <v>0</v>
      </c>
      <c r="F29" s="1076">
        <f t="shared" si="0"/>
        <v>1868.02</v>
      </c>
    </row>
    <row r="30" spans="1:6" x14ac:dyDescent="0.25">
      <c r="A30" s="974" t="s">
        <v>428</v>
      </c>
      <c r="B30" s="1019">
        <v>543</v>
      </c>
      <c r="C30" s="1011" t="s">
        <v>74</v>
      </c>
      <c r="D30" s="1074">
        <f>'2'!D30-'2b Koleje a menzy'!D30</f>
        <v>10.15</v>
      </c>
      <c r="E30" s="1075">
        <f>'2'!E30-'2b Koleje a menzy'!E30</f>
        <v>0</v>
      </c>
      <c r="F30" s="1076">
        <f t="shared" si="0"/>
        <v>10.15</v>
      </c>
    </row>
    <row r="31" spans="1:6" x14ac:dyDescent="0.25">
      <c r="A31" s="974" t="s">
        <v>429</v>
      </c>
      <c r="B31" s="1019">
        <v>544</v>
      </c>
      <c r="C31" s="1011" t="s">
        <v>77</v>
      </c>
      <c r="D31" s="1074">
        <f>'2'!D31-'2b Koleje a menzy'!D31</f>
        <v>0</v>
      </c>
      <c r="E31" s="1075">
        <f>'2'!E31-'2b Koleje a menzy'!E31</f>
        <v>0</v>
      </c>
      <c r="F31" s="1076">
        <f t="shared" si="0"/>
        <v>0</v>
      </c>
    </row>
    <row r="32" spans="1:6" x14ac:dyDescent="0.25">
      <c r="A32" s="974" t="s">
        <v>430</v>
      </c>
      <c r="B32" s="1019">
        <v>545</v>
      </c>
      <c r="C32" s="1011" t="s">
        <v>80</v>
      </c>
      <c r="D32" s="1074">
        <f>'2'!D32-'2b Koleje a menzy'!D32</f>
        <v>886.13</v>
      </c>
      <c r="E32" s="1075">
        <f>'2'!E32-'2b Koleje a menzy'!E32</f>
        <v>0</v>
      </c>
      <c r="F32" s="1076">
        <f t="shared" si="0"/>
        <v>886.13</v>
      </c>
    </row>
    <row r="33" spans="1:6" x14ac:dyDescent="0.25">
      <c r="A33" s="974" t="s">
        <v>431</v>
      </c>
      <c r="B33" s="1019">
        <v>546</v>
      </c>
      <c r="C33" s="1011" t="s">
        <v>83</v>
      </c>
      <c r="D33" s="1074">
        <f>'2'!D33-'2b Koleje a menzy'!D33</f>
        <v>0</v>
      </c>
      <c r="E33" s="1075">
        <f>'2'!E33-'2b Koleje a menzy'!E33</f>
        <v>0</v>
      </c>
      <c r="F33" s="1076">
        <f t="shared" si="0"/>
        <v>0</v>
      </c>
    </row>
    <row r="34" spans="1:6" x14ac:dyDescent="0.25">
      <c r="A34" s="974" t="s">
        <v>432</v>
      </c>
      <c r="B34" s="1019">
        <v>548</v>
      </c>
      <c r="C34" s="1011" t="s">
        <v>85</v>
      </c>
      <c r="D34" s="1074">
        <f>'2'!D34-'2b Koleje a menzy'!D34</f>
        <v>0</v>
      </c>
      <c r="E34" s="1075">
        <f>'2'!E34-'2b Koleje a menzy'!E34</f>
        <v>0</v>
      </c>
      <c r="F34" s="1076">
        <f t="shared" si="0"/>
        <v>0</v>
      </c>
    </row>
    <row r="35" spans="1:6" x14ac:dyDescent="0.25">
      <c r="A35" s="974" t="s">
        <v>433</v>
      </c>
      <c r="B35" s="1019">
        <v>549</v>
      </c>
      <c r="C35" s="1011" t="s">
        <v>88</v>
      </c>
      <c r="D35" s="1074">
        <f>'2'!D35-'2b Koleje a menzy'!D35</f>
        <v>127819.23000000001</v>
      </c>
      <c r="E35" s="1075">
        <f>'2'!E35-'2b Koleje a menzy'!E35</f>
        <v>118.35999999999999</v>
      </c>
      <c r="F35" s="1076">
        <f t="shared" si="0"/>
        <v>127937.59000000001</v>
      </c>
    </row>
    <row r="36" spans="1:6" ht="12.75" customHeight="1" x14ac:dyDescent="0.25">
      <c r="A36" s="974" t="s">
        <v>774</v>
      </c>
      <c r="B36" s="1019" t="s">
        <v>434</v>
      </c>
      <c r="C36" s="1011" t="s">
        <v>91</v>
      </c>
      <c r="D36" s="1077">
        <f>SUM(D37:D42)</f>
        <v>67566.509999999995</v>
      </c>
      <c r="E36" s="1078">
        <f>SUM(E37:E42)</f>
        <v>0</v>
      </c>
      <c r="F36" s="1076">
        <f t="shared" si="0"/>
        <v>67566.509999999995</v>
      </c>
    </row>
    <row r="37" spans="1:6" x14ac:dyDescent="0.25">
      <c r="A37" s="974" t="s">
        <v>775</v>
      </c>
      <c r="B37" s="1019">
        <v>551</v>
      </c>
      <c r="C37" s="1011" t="s">
        <v>94</v>
      </c>
      <c r="D37" s="1074">
        <f>'2'!D37-'2b Koleje a menzy'!D37</f>
        <v>67566.509999999995</v>
      </c>
      <c r="E37" s="1075">
        <f>'2'!E37-'2b Koleje a menzy'!E37</f>
        <v>0</v>
      </c>
      <c r="F37" s="1076">
        <f t="shared" si="0"/>
        <v>67566.509999999995</v>
      </c>
    </row>
    <row r="38" spans="1:6" ht="12.75" customHeight="1" x14ac:dyDescent="0.25">
      <c r="A38" s="974" t="s">
        <v>776</v>
      </c>
      <c r="B38" s="1019">
        <v>552</v>
      </c>
      <c r="C38" s="1011" t="s">
        <v>97</v>
      </c>
      <c r="D38" s="1074">
        <f>'2'!D38-'2b Koleje a menzy'!D38</f>
        <v>0</v>
      </c>
      <c r="E38" s="1075">
        <f>'2'!E38-'2b Koleje a menzy'!E38</f>
        <v>0</v>
      </c>
      <c r="F38" s="1076">
        <f t="shared" si="0"/>
        <v>0</v>
      </c>
    </row>
    <row r="39" spans="1:6" x14ac:dyDescent="0.25">
      <c r="A39" s="974" t="s">
        <v>435</v>
      </c>
      <c r="B39" s="1019">
        <v>553</v>
      </c>
      <c r="C39" s="1011" t="s">
        <v>100</v>
      </c>
      <c r="D39" s="1074">
        <f>'2'!D39-'2b Koleje a menzy'!D39</f>
        <v>0</v>
      </c>
      <c r="E39" s="1075">
        <f>'2'!E39-'2b Koleje a menzy'!E39</f>
        <v>0</v>
      </c>
      <c r="F39" s="1076">
        <f t="shared" si="0"/>
        <v>0</v>
      </c>
    </row>
    <row r="40" spans="1:6" x14ac:dyDescent="0.25">
      <c r="A40" s="974" t="s">
        <v>436</v>
      </c>
      <c r="B40" s="1019">
        <v>554</v>
      </c>
      <c r="C40" s="1011" t="s">
        <v>103</v>
      </c>
      <c r="D40" s="1074">
        <f>'2'!D40-'2b Koleje a menzy'!D40</f>
        <v>0</v>
      </c>
      <c r="E40" s="1075">
        <f>'2'!E40-'2b Koleje a menzy'!E40</f>
        <v>0</v>
      </c>
      <c r="F40" s="1076">
        <f t="shared" si="0"/>
        <v>0</v>
      </c>
    </row>
    <row r="41" spans="1:6" x14ac:dyDescent="0.25">
      <c r="A41" s="974" t="s">
        <v>437</v>
      </c>
      <c r="B41" s="1019">
        <v>556</v>
      </c>
      <c r="C41" s="1011" t="s">
        <v>106</v>
      </c>
      <c r="D41" s="1074">
        <f>'2'!D41-'2b Koleje a menzy'!D41</f>
        <v>0</v>
      </c>
      <c r="E41" s="1075">
        <f>'2'!E41-'2b Koleje a menzy'!E41</f>
        <v>0</v>
      </c>
      <c r="F41" s="1076">
        <f t="shared" si="0"/>
        <v>0</v>
      </c>
    </row>
    <row r="42" spans="1:6" x14ac:dyDescent="0.25">
      <c r="A42" s="974" t="s">
        <v>438</v>
      </c>
      <c r="B42" s="1019">
        <v>559</v>
      </c>
      <c r="C42" s="1011" t="s">
        <v>109</v>
      </c>
      <c r="D42" s="1074">
        <f>'2'!D42-'2b Koleje a menzy'!D42</f>
        <v>0</v>
      </c>
      <c r="E42" s="1075">
        <f>'2'!E42-'2b Koleje a menzy'!E42</f>
        <v>0</v>
      </c>
      <c r="F42" s="1076">
        <f t="shared" si="0"/>
        <v>0</v>
      </c>
    </row>
    <row r="43" spans="1:6" x14ac:dyDescent="0.25">
      <c r="A43" s="974" t="s">
        <v>439</v>
      </c>
      <c r="B43" s="1019" t="s">
        <v>440</v>
      </c>
      <c r="C43" s="1011" t="s">
        <v>112</v>
      </c>
      <c r="D43" s="1077">
        <f>SUM(D44:D45)</f>
        <v>350.51</v>
      </c>
      <c r="E43" s="1078">
        <f>SUM(E44:E45)</f>
        <v>7</v>
      </c>
      <c r="F43" s="1076">
        <f t="shared" si="0"/>
        <v>357.51</v>
      </c>
    </row>
    <row r="44" spans="1:6" x14ac:dyDescent="0.25">
      <c r="A44" s="974" t="s">
        <v>777</v>
      </c>
      <c r="B44" s="1019">
        <v>581</v>
      </c>
      <c r="C44" s="1011" t="s">
        <v>115</v>
      </c>
      <c r="D44" s="1074">
        <f>'2'!D44-'2b Koleje a menzy'!D44</f>
        <v>0</v>
      </c>
      <c r="E44" s="1075">
        <f>'2'!E44-'2b Koleje a menzy'!E44</f>
        <v>0</v>
      </c>
      <c r="F44" s="1076">
        <f t="shared" si="0"/>
        <v>0</v>
      </c>
    </row>
    <row r="45" spans="1:6" x14ac:dyDescent="0.25">
      <c r="A45" s="974" t="s">
        <v>441</v>
      </c>
      <c r="B45" s="1019">
        <v>582</v>
      </c>
      <c r="C45" s="1011" t="s">
        <v>117</v>
      </c>
      <c r="D45" s="1074">
        <f>'2'!D45-'2b Koleje a menzy'!D45</f>
        <v>350.51</v>
      </c>
      <c r="E45" s="1075">
        <f>'2'!E45-'2b Koleje a menzy'!E45</f>
        <v>7</v>
      </c>
      <c r="F45" s="1076">
        <f t="shared" si="0"/>
        <v>357.51</v>
      </c>
    </row>
    <row r="46" spans="1:6" x14ac:dyDescent="0.25">
      <c r="A46" s="974" t="s">
        <v>442</v>
      </c>
      <c r="B46" s="1019" t="s">
        <v>443</v>
      </c>
      <c r="C46" s="1011" t="s">
        <v>119</v>
      </c>
      <c r="D46" s="1077">
        <f>D47</f>
        <v>0</v>
      </c>
      <c r="E46" s="1078">
        <f>E47</f>
        <v>0</v>
      </c>
      <c r="F46" s="1076">
        <f t="shared" si="0"/>
        <v>0</v>
      </c>
    </row>
    <row r="47" spans="1:6" x14ac:dyDescent="0.25">
      <c r="A47" s="974" t="s">
        <v>444</v>
      </c>
      <c r="B47" s="1019">
        <v>595</v>
      </c>
      <c r="C47" s="1011" t="s">
        <v>122</v>
      </c>
      <c r="D47" s="1074">
        <f>'2'!D47-'2b Koleje a menzy'!D47</f>
        <v>0</v>
      </c>
      <c r="E47" s="1075">
        <f>'2'!E47-'2b Koleje a menzy'!E47</f>
        <v>0</v>
      </c>
      <c r="F47" s="1076">
        <f t="shared" si="0"/>
        <v>0</v>
      </c>
    </row>
    <row r="48" spans="1:6" ht="23.25" customHeight="1" thickBot="1" x14ac:dyDescent="0.3">
      <c r="A48" s="969" t="s">
        <v>445</v>
      </c>
      <c r="B48" s="1018" t="s">
        <v>446</v>
      </c>
      <c r="C48" s="1017" t="s">
        <v>125</v>
      </c>
      <c r="D48" s="1079">
        <f>D7+D12+D17+D23+D27+D36+D43+D46</f>
        <v>852135.32000000007</v>
      </c>
      <c r="E48" s="1080">
        <f>E7+E12+E17+E23+E27+E36+E43+E46</f>
        <v>2409.1</v>
      </c>
      <c r="F48" s="1081">
        <f t="shared" si="0"/>
        <v>854544.42</v>
      </c>
    </row>
    <row r="49" spans="1:6" ht="12.75" customHeight="1" thickBot="1" x14ac:dyDescent="0.3">
      <c r="A49" s="1171" t="s">
        <v>447</v>
      </c>
      <c r="B49" s="1172"/>
      <c r="C49" s="1172"/>
      <c r="D49" s="1172"/>
      <c r="E49" s="1173"/>
      <c r="F49" s="1070"/>
    </row>
    <row r="50" spans="1:6" x14ac:dyDescent="0.25">
      <c r="A50" s="985" t="s">
        <v>448</v>
      </c>
      <c r="B50" s="1016" t="s">
        <v>449</v>
      </c>
      <c r="C50" s="1015" t="s">
        <v>128</v>
      </c>
      <c r="D50" s="1071">
        <f>SUM(D51:D53)</f>
        <v>47904.670000000006</v>
      </c>
      <c r="E50" s="1072">
        <f>SUM(E51:E53)</f>
        <v>2816.4599999999991</v>
      </c>
      <c r="F50" s="1082">
        <f t="shared" ref="F50:F89" si="1">D50+E50</f>
        <v>50721.130000000005</v>
      </c>
    </row>
    <row r="51" spans="1:6" x14ac:dyDescent="0.25">
      <c r="A51" s="974" t="s">
        <v>450</v>
      </c>
      <c r="B51" s="1012">
        <v>601</v>
      </c>
      <c r="C51" s="1011" t="s">
        <v>131</v>
      </c>
      <c r="D51" s="1074">
        <f>'2'!D51-'2b Koleje a menzy'!D51</f>
        <v>655.58</v>
      </c>
      <c r="E51" s="1075">
        <f>'2'!E51-'2b Koleje a menzy'!E51</f>
        <v>0</v>
      </c>
      <c r="F51" s="1076">
        <f t="shared" si="1"/>
        <v>655.58</v>
      </c>
    </row>
    <row r="52" spans="1:6" x14ac:dyDescent="0.25">
      <c r="A52" s="974" t="s">
        <v>451</v>
      </c>
      <c r="B52" s="1012">
        <v>602</v>
      </c>
      <c r="C52" s="1011" t="s">
        <v>134</v>
      </c>
      <c r="D52" s="1074">
        <f>'2'!D52-'2b Koleje a menzy'!D52</f>
        <v>47057.55</v>
      </c>
      <c r="E52" s="1075">
        <f>'2'!E52-'2b Koleje a menzy'!E52</f>
        <v>2816.4599999999991</v>
      </c>
      <c r="F52" s="1076">
        <f t="shared" si="1"/>
        <v>49874.01</v>
      </c>
    </row>
    <row r="53" spans="1:6" x14ac:dyDescent="0.25">
      <c r="A53" s="974" t="s">
        <v>452</v>
      </c>
      <c r="B53" s="1012">
        <v>604</v>
      </c>
      <c r="C53" s="1011" t="s">
        <v>137</v>
      </c>
      <c r="D53" s="1074">
        <f>'2'!D53-'2b Koleje a menzy'!D53</f>
        <v>191.54</v>
      </c>
      <c r="E53" s="1075">
        <f>'2'!E53-'2b Koleje a menzy'!E53</f>
        <v>0</v>
      </c>
      <c r="F53" s="1076">
        <f t="shared" si="1"/>
        <v>191.54</v>
      </c>
    </row>
    <row r="54" spans="1:6" x14ac:dyDescent="0.25">
      <c r="A54" s="974" t="s">
        <v>453</v>
      </c>
      <c r="B54" s="1012" t="s">
        <v>454</v>
      </c>
      <c r="C54" s="1011" t="s">
        <v>140</v>
      </c>
      <c r="D54" s="1077">
        <f>SUM(D55:D58)</f>
        <v>671.47</v>
      </c>
      <c r="E54" s="1078">
        <f>SUM(E55:E58)</f>
        <v>0</v>
      </c>
      <c r="F54" s="1076">
        <f t="shared" si="1"/>
        <v>671.47</v>
      </c>
    </row>
    <row r="55" spans="1:6" x14ac:dyDescent="0.25">
      <c r="A55" s="974" t="s">
        <v>455</v>
      </c>
      <c r="B55" s="1012">
        <v>611</v>
      </c>
      <c r="C55" s="1011" t="s">
        <v>143</v>
      </c>
      <c r="D55" s="1074">
        <f>'2'!D55-'2b Koleje a menzy'!D55</f>
        <v>0</v>
      </c>
      <c r="E55" s="1075">
        <f>'2'!E55-'2b Koleje a menzy'!E55</f>
        <v>0</v>
      </c>
      <c r="F55" s="1076">
        <f t="shared" si="1"/>
        <v>0</v>
      </c>
    </row>
    <row r="56" spans="1:6" x14ac:dyDescent="0.25">
      <c r="A56" s="974" t="s">
        <v>456</v>
      </c>
      <c r="B56" s="1012">
        <v>612</v>
      </c>
      <c r="C56" s="1011" t="s">
        <v>146</v>
      </c>
      <c r="D56" s="1074">
        <f>'2'!D56-'2b Koleje a menzy'!D56</f>
        <v>0</v>
      </c>
      <c r="E56" s="1075">
        <f>'2'!E56-'2b Koleje a menzy'!E56</f>
        <v>0</v>
      </c>
      <c r="F56" s="1076">
        <f t="shared" si="1"/>
        <v>0</v>
      </c>
    </row>
    <row r="57" spans="1:6" x14ac:dyDescent="0.25">
      <c r="A57" s="974" t="s">
        <v>457</v>
      </c>
      <c r="B57" s="1012">
        <v>613</v>
      </c>
      <c r="C57" s="1011" t="s">
        <v>149</v>
      </c>
      <c r="D57" s="1074">
        <f>'2'!D57-'2b Koleje a menzy'!D57</f>
        <v>671.47</v>
      </c>
      <c r="E57" s="1075">
        <f>'2'!E57-'2b Koleje a menzy'!E57</f>
        <v>0</v>
      </c>
      <c r="F57" s="1076">
        <f t="shared" si="1"/>
        <v>671.47</v>
      </c>
    </row>
    <row r="58" spans="1:6" x14ac:dyDescent="0.25">
      <c r="A58" s="974" t="s">
        <v>458</v>
      </c>
      <c r="B58" s="1012">
        <v>614</v>
      </c>
      <c r="C58" s="1011" t="s">
        <v>152</v>
      </c>
      <c r="D58" s="1074">
        <f>'2'!D58-'2b Koleje a menzy'!D58</f>
        <v>0</v>
      </c>
      <c r="E58" s="1075">
        <f>'2'!E58-'2b Koleje a menzy'!E58</f>
        <v>0</v>
      </c>
      <c r="F58" s="1076">
        <f t="shared" si="1"/>
        <v>0</v>
      </c>
    </row>
    <row r="59" spans="1:6" x14ac:dyDescent="0.25">
      <c r="A59" s="974" t="s">
        <v>459</v>
      </c>
      <c r="B59" s="1012" t="s">
        <v>460</v>
      </c>
      <c r="C59" s="1011" t="s">
        <v>155</v>
      </c>
      <c r="D59" s="1077">
        <f>SUM(D60:D63)</f>
        <v>111.54</v>
      </c>
      <c r="E59" s="1078">
        <f>SUM(E60:E63)</f>
        <v>0</v>
      </c>
      <c r="F59" s="1076">
        <f t="shared" si="1"/>
        <v>111.54</v>
      </c>
    </row>
    <row r="60" spans="1:6" x14ac:dyDescent="0.25">
      <c r="A60" s="974" t="s">
        <v>461</v>
      </c>
      <c r="B60" s="1012">
        <v>621</v>
      </c>
      <c r="C60" s="1011" t="s">
        <v>158</v>
      </c>
      <c r="D60" s="1074">
        <f>'2'!D60-'2b Koleje a menzy'!D60</f>
        <v>111.54</v>
      </c>
      <c r="E60" s="1075">
        <f>'2'!E60-'2b Koleje a menzy'!E60</f>
        <v>0</v>
      </c>
      <c r="F60" s="1076">
        <f t="shared" si="1"/>
        <v>111.54</v>
      </c>
    </row>
    <row r="61" spans="1:6" x14ac:dyDescent="0.25">
      <c r="A61" s="974" t="s">
        <v>462</v>
      </c>
      <c r="B61" s="1012">
        <v>622</v>
      </c>
      <c r="C61" s="1011" t="s">
        <v>161</v>
      </c>
      <c r="D61" s="1074">
        <f>'2'!D61-'2b Koleje a menzy'!D61</f>
        <v>0</v>
      </c>
      <c r="E61" s="1075">
        <f>'2'!E61-'2b Koleje a menzy'!E61</f>
        <v>0</v>
      </c>
      <c r="F61" s="1076">
        <f t="shared" si="1"/>
        <v>0</v>
      </c>
    </row>
    <row r="62" spans="1:6" x14ac:dyDescent="0.25">
      <c r="A62" s="974" t="s">
        <v>463</v>
      </c>
      <c r="B62" s="1012">
        <v>623</v>
      </c>
      <c r="C62" s="1011" t="s">
        <v>164</v>
      </c>
      <c r="D62" s="1074">
        <f>'2'!D62-'2b Koleje a menzy'!D62</f>
        <v>0</v>
      </c>
      <c r="E62" s="1075">
        <f>'2'!E62-'2b Koleje a menzy'!E62</f>
        <v>0</v>
      </c>
      <c r="F62" s="1076">
        <f t="shared" si="1"/>
        <v>0</v>
      </c>
    </row>
    <row r="63" spans="1:6" x14ac:dyDescent="0.25">
      <c r="A63" s="974" t="s">
        <v>464</v>
      </c>
      <c r="B63" s="1012">
        <v>624</v>
      </c>
      <c r="C63" s="1011" t="s">
        <v>166</v>
      </c>
      <c r="D63" s="1074">
        <f>'2'!D63-'2b Koleje a menzy'!D63</f>
        <v>0</v>
      </c>
      <c r="E63" s="1075">
        <f>'2'!E63-'2b Koleje a menzy'!E63</f>
        <v>0</v>
      </c>
      <c r="F63" s="1076">
        <f t="shared" si="1"/>
        <v>0</v>
      </c>
    </row>
    <row r="64" spans="1:6" x14ac:dyDescent="0.25">
      <c r="A64" s="974" t="s">
        <v>465</v>
      </c>
      <c r="B64" s="1012" t="s">
        <v>466</v>
      </c>
      <c r="C64" s="1011" t="s">
        <v>169</v>
      </c>
      <c r="D64" s="1077">
        <f>SUM(D65:D71)</f>
        <v>70797.430000000008</v>
      </c>
      <c r="E64" s="1078">
        <f>SUM(E65:E71)</f>
        <v>0</v>
      </c>
      <c r="F64" s="1076">
        <f t="shared" si="1"/>
        <v>70797.430000000008</v>
      </c>
    </row>
    <row r="65" spans="1:6" x14ac:dyDescent="0.25">
      <c r="A65" s="974" t="s">
        <v>467</v>
      </c>
      <c r="B65" s="1012">
        <v>641</v>
      </c>
      <c r="C65" s="1011" t="s">
        <v>172</v>
      </c>
      <c r="D65" s="1074">
        <f>'2'!D65-'2b Koleje a menzy'!D65</f>
        <v>290.88</v>
      </c>
      <c r="E65" s="1075">
        <f>'2'!E65-'2b Koleje a menzy'!E65</f>
        <v>0</v>
      </c>
      <c r="F65" s="1076">
        <f t="shared" si="1"/>
        <v>290.88</v>
      </c>
    </row>
    <row r="66" spans="1:6" x14ac:dyDescent="0.25">
      <c r="A66" s="974" t="s">
        <v>468</v>
      </c>
      <c r="B66" s="1012">
        <v>642</v>
      </c>
      <c r="C66" s="1011" t="s">
        <v>174</v>
      </c>
      <c r="D66" s="1074">
        <f>'2'!D66-'2b Koleje a menzy'!D66</f>
        <v>25</v>
      </c>
      <c r="E66" s="1075">
        <f>'2'!E66-'2b Koleje a menzy'!E66</f>
        <v>0</v>
      </c>
      <c r="F66" s="1076">
        <f t="shared" si="1"/>
        <v>25</v>
      </c>
    </row>
    <row r="67" spans="1:6" x14ac:dyDescent="0.25">
      <c r="A67" s="974" t="s">
        <v>469</v>
      </c>
      <c r="B67" s="1012">
        <v>643</v>
      </c>
      <c r="C67" s="1011" t="s">
        <v>177</v>
      </c>
      <c r="D67" s="1074">
        <f>'2'!D67-'2b Koleje a menzy'!D67</f>
        <v>0</v>
      </c>
      <c r="E67" s="1075">
        <f>'2'!E67-'2b Koleje a menzy'!E67</f>
        <v>0</v>
      </c>
      <c r="F67" s="1076">
        <f t="shared" si="1"/>
        <v>0</v>
      </c>
    </row>
    <row r="68" spans="1:6" x14ac:dyDescent="0.25">
      <c r="A68" s="974" t="s">
        <v>470</v>
      </c>
      <c r="B68" s="1012">
        <v>644</v>
      </c>
      <c r="C68" s="1011" t="s">
        <v>180</v>
      </c>
      <c r="D68" s="1074">
        <f>'2'!D68-'2b Koleje a menzy'!D68</f>
        <v>758.48</v>
      </c>
      <c r="E68" s="1075">
        <f>'2'!E68-'2b Koleje a menzy'!E68</f>
        <v>0</v>
      </c>
      <c r="F68" s="1076">
        <f t="shared" si="1"/>
        <v>758.48</v>
      </c>
    </row>
    <row r="69" spans="1:6" x14ac:dyDescent="0.25">
      <c r="A69" s="974" t="s">
        <v>471</v>
      </c>
      <c r="B69" s="1012">
        <v>645</v>
      </c>
      <c r="C69" s="1011" t="s">
        <v>183</v>
      </c>
      <c r="D69" s="1074">
        <f>'2'!D69-'2b Koleje a menzy'!D69</f>
        <v>96.84</v>
      </c>
      <c r="E69" s="1075">
        <f>'2'!E69-'2b Koleje a menzy'!E69</f>
        <v>0</v>
      </c>
      <c r="F69" s="1076">
        <f t="shared" si="1"/>
        <v>96.84</v>
      </c>
    </row>
    <row r="70" spans="1:6" x14ac:dyDescent="0.25">
      <c r="A70" s="974" t="s">
        <v>472</v>
      </c>
      <c r="B70" s="1012">
        <v>648</v>
      </c>
      <c r="C70" s="1011" t="s">
        <v>186</v>
      </c>
      <c r="D70" s="1074">
        <f>'2'!D70-'2b Koleje a menzy'!D70</f>
        <v>16395.97</v>
      </c>
      <c r="E70" s="1075">
        <f>'2'!E70-'2b Koleje a menzy'!E70</f>
        <v>0</v>
      </c>
      <c r="F70" s="1076">
        <f t="shared" si="1"/>
        <v>16395.97</v>
      </c>
    </row>
    <row r="71" spans="1:6" x14ac:dyDescent="0.25">
      <c r="A71" s="974" t="s">
        <v>473</v>
      </c>
      <c r="B71" s="1012">
        <v>649</v>
      </c>
      <c r="C71" s="1011" t="s">
        <v>189</v>
      </c>
      <c r="D71" s="1074">
        <f>'2'!D71-'2b Koleje a menzy'!D71</f>
        <v>53230.26</v>
      </c>
      <c r="E71" s="1075">
        <f>'2'!E71-'2b Koleje a menzy'!E71</f>
        <v>0</v>
      </c>
      <c r="F71" s="1076">
        <f t="shared" si="1"/>
        <v>53230.26</v>
      </c>
    </row>
    <row r="72" spans="1:6" ht="12.75" customHeight="1" x14ac:dyDescent="0.25">
      <c r="A72" s="974" t="s">
        <v>778</v>
      </c>
      <c r="B72" s="1012" t="s">
        <v>474</v>
      </c>
      <c r="C72" s="1011" t="s">
        <v>191</v>
      </c>
      <c r="D72" s="1077">
        <f>SUM(D73:D79)</f>
        <v>0</v>
      </c>
      <c r="E72" s="1078">
        <f>SUM(E73:E79)</f>
        <v>0</v>
      </c>
      <c r="F72" s="1076">
        <f t="shared" si="1"/>
        <v>0</v>
      </c>
    </row>
    <row r="73" spans="1:6" x14ac:dyDescent="0.25">
      <c r="A73" s="974" t="s">
        <v>779</v>
      </c>
      <c r="B73" s="1012">
        <v>652</v>
      </c>
      <c r="C73" s="1011" t="s">
        <v>194</v>
      </c>
      <c r="D73" s="1074">
        <f>'2'!D73-'2b Koleje a menzy'!D73</f>
        <v>0</v>
      </c>
      <c r="E73" s="1075">
        <f>'2'!E73-'2b Koleje a menzy'!E73</f>
        <v>0</v>
      </c>
      <c r="F73" s="1076">
        <f t="shared" si="1"/>
        <v>0</v>
      </c>
    </row>
    <row r="74" spans="1:6" x14ac:dyDescent="0.25">
      <c r="A74" s="974" t="s">
        <v>475</v>
      </c>
      <c r="B74" s="1012">
        <v>653</v>
      </c>
      <c r="C74" s="1011" t="s">
        <v>196</v>
      </c>
      <c r="D74" s="1074">
        <f>'2'!D74-'2b Koleje a menzy'!D74</f>
        <v>0</v>
      </c>
      <c r="E74" s="1075">
        <f>'2'!E74-'2b Koleje a menzy'!E74</f>
        <v>0</v>
      </c>
      <c r="F74" s="1076">
        <f t="shared" si="1"/>
        <v>0</v>
      </c>
    </row>
    <row r="75" spans="1:6" x14ac:dyDescent="0.25">
      <c r="A75" s="974" t="s">
        <v>476</v>
      </c>
      <c r="B75" s="1012">
        <v>654</v>
      </c>
      <c r="C75" s="1011" t="s">
        <v>198</v>
      </c>
      <c r="D75" s="1074">
        <f>'2'!D75-'2b Koleje a menzy'!D75</f>
        <v>0</v>
      </c>
      <c r="E75" s="1075">
        <f>'2'!E75-'2b Koleje a menzy'!E75</f>
        <v>0</v>
      </c>
      <c r="F75" s="1076">
        <f t="shared" si="1"/>
        <v>0</v>
      </c>
    </row>
    <row r="76" spans="1:6" x14ac:dyDescent="0.25">
      <c r="A76" s="974" t="s">
        <v>477</v>
      </c>
      <c r="B76" s="1012">
        <v>655</v>
      </c>
      <c r="C76" s="1011" t="s">
        <v>201</v>
      </c>
      <c r="D76" s="1074">
        <f>'2'!D76-'2b Koleje a menzy'!D76</f>
        <v>0</v>
      </c>
      <c r="E76" s="1075">
        <f>'2'!E76-'2b Koleje a menzy'!E76</f>
        <v>0</v>
      </c>
      <c r="F76" s="1076">
        <f t="shared" si="1"/>
        <v>0</v>
      </c>
    </row>
    <row r="77" spans="1:6" x14ac:dyDescent="0.25">
      <c r="A77" s="974" t="s">
        <v>478</v>
      </c>
      <c r="B77" s="1012">
        <v>656</v>
      </c>
      <c r="C77" s="1011" t="s">
        <v>204</v>
      </c>
      <c r="D77" s="1074">
        <f>'2'!D77-'2b Koleje a menzy'!D77</f>
        <v>0</v>
      </c>
      <c r="E77" s="1075">
        <f>'2'!E77-'2b Koleje a menzy'!E77</f>
        <v>0</v>
      </c>
      <c r="F77" s="1076">
        <f t="shared" si="1"/>
        <v>0</v>
      </c>
    </row>
    <row r="78" spans="1:6" x14ac:dyDescent="0.25">
      <c r="A78" s="974" t="s">
        <v>479</v>
      </c>
      <c r="B78" s="1012">
        <v>657</v>
      </c>
      <c r="C78" s="1011" t="s">
        <v>207</v>
      </c>
      <c r="D78" s="1074">
        <f>'2'!D78-'2b Koleje a menzy'!D78</f>
        <v>0</v>
      </c>
      <c r="E78" s="1075">
        <f>'2'!E78-'2b Koleje a menzy'!E78</f>
        <v>0</v>
      </c>
      <c r="F78" s="1076">
        <f t="shared" si="1"/>
        <v>0</v>
      </c>
    </row>
    <row r="79" spans="1:6" x14ac:dyDescent="0.25">
      <c r="A79" s="974" t="s">
        <v>480</v>
      </c>
      <c r="B79" s="1012">
        <v>659</v>
      </c>
      <c r="C79" s="1011" t="s">
        <v>210</v>
      </c>
      <c r="D79" s="1074">
        <f>'2'!D79-'2b Koleje a menzy'!D79</f>
        <v>0</v>
      </c>
      <c r="E79" s="1075">
        <f>'2'!E79-'2b Koleje a menzy'!E79</f>
        <v>0</v>
      </c>
      <c r="F79" s="1076">
        <f t="shared" si="1"/>
        <v>0</v>
      </c>
    </row>
    <row r="80" spans="1:6" x14ac:dyDescent="0.25">
      <c r="A80" s="974" t="s">
        <v>481</v>
      </c>
      <c r="B80" s="1012" t="s">
        <v>482</v>
      </c>
      <c r="C80" s="1011" t="s">
        <v>213</v>
      </c>
      <c r="D80" s="1077">
        <f>SUM(D81:D83)</f>
        <v>1011.97</v>
      </c>
      <c r="E80" s="1078">
        <f>SUM(E81:E83)</f>
        <v>0</v>
      </c>
      <c r="F80" s="1076">
        <f t="shared" si="1"/>
        <v>1011.97</v>
      </c>
    </row>
    <row r="81" spans="1:6" x14ac:dyDescent="0.25">
      <c r="A81" s="974" t="s">
        <v>483</v>
      </c>
      <c r="B81" s="1012">
        <v>681</v>
      </c>
      <c r="C81" s="1011" t="s">
        <v>216</v>
      </c>
      <c r="D81" s="1074">
        <f>'2'!D81-'2b Koleje a menzy'!D81</f>
        <v>0</v>
      </c>
      <c r="E81" s="1075">
        <f>'2'!E81-'2b Koleje a menzy'!E81</f>
        <v>0</v>
      </c>
      <c r="F81" s="1076">
        <f t="shared" si="1"/>
        <v>0</v>
      </c>
    </row>
    <row r="82" spans="1:6" x14ac:dyDescent="0.25">
      <c r="A82" s="974" t="s">
        <v>484</v>
      </c>
      <c r="B82" s="1012">
        <v>682</v>
      </c>
      <c r="C82" s="1011" t="s">
        <v>219</v>
      </c>
      <c r="D82" s="1074">
        <f>'2'!D82-'2b Koleje a menzy'!D82</f>
        <v>1011.97</v>
      </c>
      <c r="E82" s="1075">
        <f>'2'!E82-'2b Koleje a menzy'!E82</f>
        <v>0</v>
      </c>
      <c r="F82" s="1076">
        <f t="shared" si="1"/>
        <v>1011.97</v>
      </c>
    </row>
    <row r="83" spans="1:6" x14ac:dyDescent="0.25">
      <c r="A83" s="974" t="s">
        <v>485</v>
      </c>
      <c r="B83" s="1012">
        <v>684</v>
      </c>
      <c r="C83" s="1011" t="s">
        <v>222</v>
      </c>
      <c r="D83" s="1074">
        <f>'2'!D83-'2b Koleje a menzy'!D83</f>
        <v>0</v>
      </c>
      <c r="E83" s="1075">
        <f>'2'!E83-'2b Koleje a menzy'!E83</f>
        <v>0</v>
      </c>
      <c r="F83" s="1076">
        <f t="shared" si="1"/>
        <v>0</v>
      </c>
    </row>
    <row r="84" spans="1:6" x14ac:dyDescent="0.25">
      <c r="A84" s="974" t="s">
        <v>486</v>
      </c>
      <c r="B84" s="1012" t="s">
        <v>487</v>
      </c>
      <c r="C84" s="1011" t="s">
        <v>225</v>
      </c>
      <c r="D84" s="1077">
        <f>D85</f>
        <v>744494.14133000001</v>
      </c>
      <c r="E84" s="1078">
        <f>E85</f>
        <v>0</v>
      </c>
      <c r="F84" s="1076">
        <f t="shared" si="1"/>
        <v>744494.14133000001</v>
      </c>
    </row>
    <row r="85" spans="1:6" x14ac:dyDescent="0.25">
      <c r="A85" s="974" t="s">
        <v>488</v>
      </c>
      <c r="B85" s="1012">
        <v>691</v>
      </c>
      <c r="C85" s="1011" t="s">
        <v>228</v>
      </c>
      <c r="D85" s="1074">
        <f>'2'!D85-'2b Koleje a menzy'!D85</f>
        <v>744494.14133000001</v>
      </c>
      <c r="E85" s="1075">
        <f>'2'!E85-'2b Koleje a menzy'!E85</f>
        <v>0</v>
      </c>
      <c r="F85" s="1076">
        <f t="shared" si="1"/>
        <v>744494.14133000001</v>
      </c>
    </row>
    <row r="86" spans="1:6" ht="25.5" x14ac:dyDescent="0.25">
      <c r="A86" s="974" t="s">
        <v>489</v>
      </c>
      <c r="B86" s="1014" t="s">
        <v>677</v>
      </c>
      <c r="C86" s="1011" t="s">
        <v>231</v>
      </c>
      <c r="D86" s="1077">
        <f>D50+D54+D59+D64+D72+D80+D84</f>
        <v>864991.22133000009</v>
      </c>
      <c r="E86" s="1078">
        <f>E50+E54+E59+E64+E72+E80+E84</f>
        <v>2816.4599999999991</v>
      </c>
      <c r="F86" s="1076">
        <f t="shared" si="1"/>
        <v>867807.68133000005</v>
      </c>
    </row>
    <row r="87" spans="1:6" x14ac:dyDescent="0.25">
      <c r="A87" s="1013" t="s">
        <v>490</v>
      </c>
      <c r="B87" s="1012" t="s">
        <v>491</v>
      </c>
      <c r="C87" s="1011" t="s">
        <v>234</v>
      </c>
      <c r="D87" s="1077">
        <f>D86-D48</f>
        <v>12855.901330000022</v>
      </c>
      <c r="E87" s="1078">
        <f>E86-E48</f>
        <v>407.35999999999922</v>
      </c>
      <c r="F87" s="1076">
        <f t="shared" si="1"/>
        <v>13263.261330000021</v>
      </c>
    </row>
    <row r="88" spans="1:6" x14ac:dyDescent="0.25">
      <c r="A88" s="974" t="s">
        <v>492</v>
      </c>
      <c r="B88" s="1012">
        <v>591</v>
      </c>
      <c r="C88" s="1011" t="s">
        <v>237</v>
      </c>
      <c r="D88" s="1074">
        <f>'2'!D88-'2b Koleje a menzy'!D88</f>
        <v>1395.84</v>
      </c>
      <c r="E88" s="1075">
        <f>'2'!E88-'2b Koleje a menzy'!E88</f>
        <v>0</v>
      </c>
      <c r="F88" s="1076">
        <f t="shared" si="1"/>
        <v>1395.84</v>
      </c>
    </row>
    <row r="89" spans="1:6" ht="13.5" thickBot="1" x14ac:dyDescent="0.3">
      <c r="A89" s="1013" t="s">
        <v>493</v>
      </c>
      <c r="B89" s="1012" t="s">
        <v>494</v>
      </c>
      <c r="C89" s="1011" t="s">
        <v>240</v>
      </c>
      <c r="D89" s="1074">
        <f>D87-D88</f>
        <v>11460.061330000022</v>
      </c>
      <c r="E89" s="1075">
        <f>E87-E88</f>
        <v>407.35999999999922</v>
      </c>
      <c r="F89" s="1083">
        <f t="shared" si="1"/>
        <v>11867.421330000021</v>
      </c>
    </row>
    <row r="90" spans="1:6" ht="24" customHeight="1" x14ac:dyDescent="0.25">
      <c r="A90" s="1176"/>
      <c r="B90" s="1177"/>
      <c r="C90" s="1178"/>
      <c r="D90" s="1185" t="s">
        <v>790</v>
      </c>
      <c r="E90" s="1186"/>
      <c r="F90" s="1088"/>
    </row>
    <row r="91" spans="1:6" ht="12.75" customHeight="1" x14ac:dyDescent="0.25">
      <c r="A91" s="1010" t="s">
        <v>495</v>
      </c>
      <c r="B91" s="1009" t="s">
        <v>606</v>
      </c>
      <c r="C91" s="983" t="s">
        <v>243</v>
      </c>
      <c r="D91" s="1183">
        <f>+D87+E87</f>
        <v>13263.261330000021</v>
      </c>
      <c r="E91" s="1184"/>
      <c r="F91" s="1089"/>
    </row>
    <row r="92" spans="1:6" ht="12.75" customHeight="1" thickBot="1" x14ac:dyDescent="0.3">
      <c r="A92" s="1008" t="s">
        <v>496</v>
      </c>
      <c r="B92" s="968" t="s">
        <v>607</v>
      </c>
      <c r="C92" s="967" t="s">
        <v>246</v>
      </c>
      <c r="D92" s="1166">
        <f>+D89+E89</f>
        <v>11867.421330000021</v>
      </c>
      <c r="E92" s="1167"/>
      <c r="F92" s="1089"/>
    </row>
    <row r="93" spans="1:6" ht="12.75" customHeight="1" x14ac:dyDescent="0.25">
      <c r="A93" s="1007"/>
      <c r="B93" s="961"/>
      <c r="C93" s="961"/>
    </row>
    <row r="94" spans="1:6" ht="12.75" customHeight="1" x14ac:dyDescent="0.25">
      <c r="A94" s="964" t="s">
        <v>657</v>
      </c>
      <c r="B94" s="961"/>
      <c r="C94" s="961"/>
    </row>
    <row r="95" spans="1:6" ht="12.75" customHeight="1" x14ac:dyDescent="0.25">
      <c r="A95" s="61" t="s">
        <v>1275</v>
      </c>
      <c r="B95" s="961"/>
      <c r="C95" s="961"/>
    </row>
    <row r="96" spans="1:6" x14ac:dyDescent="0.25">
      <c r="A96" s="958" t="s">
        <v>680</v>
      </c>
      <c r="B96" s="960"/>
      <c r="C96" s="960"/>
    </row>
    <row r="97" spans="1:3" x14ac:dyDescent="0.25">
      <c r="A97" s="61" t="s">
        <v>675</v>
      </c>
      <c r="B97" s="960"/>
      <c r="C97" s="960"/>
    </row>
    <row r="98" spans="1:3" x14ac:dyDescent="0.25">
      <c r="A98" s="61" t="s">
        <v>1213</v>
      </c>
    </row>
  </sheetData>
  <mergeCells count="10">
    <mergeCell ref="A90:C90"/>
    <mergeCell ref="D90:E90"/>
    <mergeCell ref="D91:E91"/>
    <mergeCell ref="D92:E92"/>
    <mergeCell ref="A1:E1"/>
    <mergeCell ref="A2:E2"/>
    <mergeCell ref="A3:E3"/>
    <mergeCell ref="A4:E4"/>
    <mergeCell ref="B6:C6"/>
    <mergeCell ref="A49:E49"/>
  </mergeCells>
  <pageMargins left="0" right="0" top="0.39370078740157483" bottom="0.39370078740157483" header="0.51181102362204722" footer="0.51181102362204722"/>
  <pageSetup paperSize="9" scale="75" orientation="portrait" r:id="rId1"/>
  <headerFooter alignWithMargins="0"/>
  <rowBreaks count="1" manualBreakCount="1">
    <brk id="4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zoomScaleNormal="100" workbookViewId="0">
      <pane ySplit="5" topLeftCell="A67" activePane="bottomLeft" state="frozenSplit"/>
      <selection activeCell="I48" sqref="I48:I49"/>
      <selection pane="bottomLeft" activeCell="D92" sqref="D92:E92"/>
    </sheetView>
  </sheetViews>
  <sheetFormatPr defaultRowHeight="12.75" x14ac:dyDescent="0.25"/>
  <cols>
    <col min="1" max="1" width="60.42578125" style="964" customWidth="1"/>
    <col min="2" max="2" width="13.85546875" style="1006" customWidth="1"/>
    <col min="3" max="3" width="9.140625" style="1006"/>
    <col min="4" max="5" width="13.140625" style="959" customWidth="1"/>
    <col min="6" max="6" width="13.140625" style="958" customWidth="1"/>
    <col min="7" max="16384" width="9.140625" style="958"/>
  </cols>
  <sheetData>
    <row r="1" spans="1:6" ht="15.75" x14ac:dyDescent="0.25">
      <c r="A1" s="1179" t="s">
        <v>897</v>
      </c>
      <c r="B1" s="1179"/>
      <c r="C1" s="1179"/>
      <c r="D1" s="1179"/>
      <c r="E1" s="1179"/>
    </row>
    <row r="2" spans="1:6" ht="12.75" customHeight="1" thickBot="1" x14ac:dyDescent="0.3">
      <c r="A2" s="1180" t="s">
        <v>1278</v>
      </c>
      <c r="B2" s="1180"/>
      <c r="C2" s="1180"/>
      <c r="D2" s="1180"/>
      <c r="E2" s="1180"/>
    </row>
    <row r="3" spans="1:6" ht="27.95" customHeight="1" thickBot="1" x14ac:dyDescent="0.3">
      <c r="A3" s="1168" t="s">
        <v>678</v>
      </c>
      <c r="B3" s="1169"/>
      <c r="C3" s="1169"/>
      <c r="D3" s="1169"/>
      <c r="E3" s="1170"/>
      <c r="F3" s="980"/>
    </row>
    <row r="4" spans="1:6" ht="15" customHeight="1" thickBot="1" x14ac:dyDescent="0.3">
      <c r="A4" s="1154" t="s">
        <v>626</v>
      </c>
      <c r="B4" s="1155"/>
      <c r="C4" s="1155"/>
      <c r="D4" s="1155"/>
      <c r="E4" s="1156"/>
    </row>
    <row r="5" spans="1:6" s="1021" customFormat="1" ht="40.5" customHeight="1" thickBot="1" x14ac:dyDescent="0.3">
      <c r="A5" s="1029" t="s">
        <v>627</v>
      </c>
      <c r="B5" s="1028" t="s">
        <v>912</v>
      </c>
      <c r="C5" s="1027" t="s">
        <v>679</v>
      </c>
      <c r="D5" s="1026" t="s">
        <v>916</v>
      </c>
      <c r="E5" s="1025" t="s">
        <v>917</v>
      </c>
      <c r="F5" s="1087" t="s">
        <v>536</v>
      </c>
    </row>
    <row r="6" spans="1:6" s="1021" customFormat="1" ht="12.75" customHeight="1" x14ac:dyDescent="0.25">
      <c r="A6" s="1024" t="s">
        <v>383</v>
      </c>
      <c r="B6" s="1181"/>
      <c r="C6" s="1182"/>
      <c r="D6" s="1023" t="s">
        <v>605</v>
      </c>
      <c r="E6" s="1022" t="s">
        <v>523</v>
      </c>
      <c r="F6" s="1086" t="s">
        <v>1302</v>
      </c>
    </row>
    <row r="7" spans="1:6" x14ac:dyDescent="0.25">
      <c r="A7" s="985" t="s">
        <v>384</v>
      </c>
      <c r="B7" s="1020" t="s">
        <v>385</v>
      </c>
      <c r="C7" s="1015" t="s">
        <v>5</v>
      </c>
      <c r="D7" s="1071">
        <f>SUM(D8:D11)</f>
        <v>1598.1</v>
      </c>
      <c r="E7" s="1072">
        <f>SUM(E8:E11)</f>
        <v>3932.7700000000004</v>
      </c>
      <c r="F7" s="1073">
        <f>SUM(F8:F11)</f>
        <v>5530.869999999999</v>
      </c>
    </row>
    <row r="8" spans="1:6" x14ac:dyDescent="0.25">
      <c r="A8" s="974" t="s">
        <v>386</v>
      </c>
      <c r="B8" s="1019">
        <v>501</v>
      </c>
      <c r="C8" s="1011" t="s">
        <v>8</v>
      </c>
      <c r="D8" s="1074">
        <v>1594.06</v>
      </c>
      <c r="E8" s="1075">
        <v>1132.42</v>
      </c>
      <c r="F8" s="1076">
        <f t="shared" ref="F8:F48" si="0">D8+E8</f>
        <v>2726.48</v>
      </c>
    </row>
    <row r="9" spans="1:6" x14ac:dyDescent="0.25">
      <c r="A9" s="974" t="s">
        <v>387</v>
      </c>
      <c r="B9" s="1019">
        <v>502</v>
      </c>
      <c r="C9" s="1011" t="s">
        <v>11</v>
      </c>
      <c r="D9" s="1074">
        <v>0</v>
      </c>
      <c r="E9" s="1075">
        <v>2667.01</v>
      </c>
      <c r="F9" s="1076">
        <f t="shared" si="0"/>
        <v>2667.01</v>
      </c>
    </row>
    <row r="10" spans="1:6" x14ac:dyDescent="0.25">
      <c r="A10" s="974" t="s">
        <v>388</v>
      </c>
      <c r="B10" s="1019">
        <v>503</v>
      </c>
      <c r="C10" s="1011" t="s">
        <v>14</v>
      </c>
      <c r="D10" s="1074">
        <v>4.04</v>
      </c>
      <c r="E10" s="1075">
        <v>21.11</v>
      </c>
      <c r="F10" s="1076">
        <f t="shared" si="0"/>
        <v>25.15</v>
      </c>
    </row>
    <row r="11" spans="1:6" x14ac:dyDescent="0.25">
      <c r="A11" s="974" t="s">
        <v>389</v>
      </c>
      <c r="B11" s="1019">
        <v>504</v>
      </c>
      <c r="C11" s="1011" t="s">
        <v>17</v>
      </c>
      <c r="D11" s="1074">
        <v>0</v>
      </c>
      <c r="E11" s="1075">
        <v>112.23</v>
      </c>
      <c r="F11" s="1076">
        <f t="shared" si="0"/>
        <v>112.23</v>
      </c>
    </row>
    <row r="12" spans="1:6" x14ac:dyDescent="0.25">
      <c r="A12" s="974" t="s">
        <v>390</v>
      </c>
      <c r="B12" s="1019" t="s">
        <v>391</v>
      </c>
      <c r="C12" s="1011" t="s">
        <v>20</v>
      </c>
      <c r="D12" s="1077">
        <f>SUM(D13:D16)</f>
        <v>197.44</v>
      </c>
      <c r="E12" s="1078">
        <f>SUM(E13:E16)</f>
        <v>1489</v>
      </c>
      <c r="F12" s="1076">
        <f t="shared" si="0"/>
        <v>1686.44</v>
      </c>
    </row>
    <row r="13" spans="1:6" x14ac:dyDescent="0.25">
      <c r="A13" s="974" t="s">
        <v>392</v>
      </c>
      <c r="B13" s="1019">
        <v>511</v>
      </c>
      <c r="C13" s="1011" t="s">
        <v>23</v>
      </c>
      <c r="D13" s="1074">
        <v>109.19</v>
      </c>
      <c r="E13" s="1075">
        <v>859.72</v>
      </c>
      <c r="F13" s="1076">
        <f t="shared" si="0"/>
        <v>968.91000000000008</v>
      </c>
    </row>
    <row r="14" spans="1:6" x14ac:dyDescent="0.25">
      <c r="A14" s="974" t="s">
        <v>393</v>
      </c>
      <c r="B14" s="1019">
        <v>512</v>
      </c>
      <c r="C14" s="1011" t="s">
        <v>26</v>
      </c>
      <c r="D14" s="1074">
        <v>0</v>
      </c>
      <c r="E14" s="1075">
        <v>4.12</v>
      </c>
      <c r="F14" s="1076">
        <f t="shared" si="0"/>
        <v>4.12</v>
      </c>
    </row>
    <row r="15" spans="1:6" x14ac:dyDescent="0.25">
      <c r="A15" s="974" t="s">
        <v>394</v>
      </c>
      <c r="B15" s="1019">
        <v>513</v>
      </c>
      <c r="C15" s="1011" t="s">
        <v>29</v>
      </c>
      <c r="D15" s="1074">
        <v>0</v>
      </c>
      <c r="E15" s="1075">
        <v>0.85</v>
      </c>
      <c r="F15" s="1076">
        <f t="shared" si="0"/>
        <v>0.85</v>
      </c>
    </row>
    <row r="16" spans="1:6" x14ac:dyDescent="0.25">
      <c r="A16" s="974" t="s">
        <v>395</v>
      </c>
      <c r="B16" s="1019">
        <v>518</v>
      </c>
      <c r="C16" s="1011" t="s">
        <v>32</v>
      </c>
      <c r="D16" s="1074">
        <v>88.25</v>
      </c>
      <c r="E16" s="1075">
        <v>624.30999999999995</v>
      </c>
      <c r="F16" s="1076">
        <f t="shared" si="0"/>
        <v>712.56</v>
      </c>
    </row>
    <row r="17" spans="1:6" x14ac:dyDescent="0.25">
      <c r="A17" s="974" t="s">
        <v>396</v>
      </c>
      <c r="B17" s="1019" t="s">
        <v>397</v>
      </c>
      <c r="C17" s="1011" t="s">
        <v>35</v>
      </c>
      <c r="D17" s="1077">
        <f>SUM(D18:D22)</f>
        <v>2500.14</v>
      </c>
      <c r="E17" s="1078">
        <f>SUM(E18:E22)</f>
        <v>4059.6</v>
      </c>
      <c r="F17" s="1076">
        <f t="shared" si="0"/>
        <v>6559.74</v>
      </c>
    </row>
    <row r="18" spans="1:6" x14ac:dyDescent="0.25">
      <c r="A18" s="974" t="s">
        <v>398</v>
      </c>
      <c r="B18" s="1019">
        <v>521</v>
      </c>
      <c r="C18" s="1011" t="s">
        <v>38</v>
      </c>
      <c r="D18" s="1074">
        <v>1820.43</v>
      </c>
      <c r="E18" s="1075">
        <v>2981.89</v>
      </c>
      <c r="F18" s="1076">
        <f t="shared" si="0"/>
        <v>4802.32</v>
      </c>
    </row>
    <row r="19" spans="1:6" x14ac:dyDescent="0.25">
      <c r="A19" s="974" t="s">
        <v>415</v>
      </c>
      <c r="B19" s="1019">
        <v>524</v>
      </c>
      <c r="C19" s="1011" t="s">
        <v>41</v>
      </c>
      <c r="D19" s="1074">
        <v>600.77</v>
      </c>
      <c r="E19" s="1075">
        <v>987.03</v>
      </c>
      <c r="F19" s="1076">
        <f t="shared" si="0"/>
        <v>1587.8</v>
      </c>
    </row>
    <row r="20" spans="1:6" x14ac:dyDescent="0.25">
      <c r="A20" s="974" t="s">
        <v>416</v>
      </c>
      <c r="B20" s="1019">
        <v>525</v>
      </c>
      <c r="C20" s="1011" t="s">
        <v>44</v>
      </c>
      <c r="D20" s="1074">
        <v>0</v>
      </c>
      <c r="E20" s="1075">
        <v>0</v>
      </c>
      <c r="F20" s="1076">
        <f t="shared" si="0"/>
        <v>0</v>
      </c>
    </row>
    <row r="21" spans="1:6" x14ac:dyDescent="0.25">
      <c r="A21" s="974" t="s">
        <v>417</v>
      </c>
      <c r="B21" s="1019">
        <v>527</v>
      </c>
      <c r="C21" s="1011" t="s">
        <v>47</v>
      </c>
      <c r="D21" s="1074">
        <v>78.94</v>
      </c>
      <c r="E21" s="1075">
        <v>90.68</v>
      </c>
      <c r="F21" s="1076">
        <f t="shared" si="0"/>
        <v>169.62</v>
      </c>
    </row>
    <row r="22" spans="1:6" x14ac:dyDescent="0.25">
      <c r="A22" s="974" t="s">
        <v>418</v>
      </c>
      <c r="B22" s="1019">
        <v>528</v>
      </c>
      <c r="C22" s="1011" t="s">
        <v>50</v>
      </c>
      <c r="D22" s="1074">
        <v>0</v>
      </c>
      <c r="E22" s="1075">
        <v>0</v>
      </c>
      <c r="F22" s="1076">
        <f t="shared" si="0"/>
        <v>0</v>
      </c>
    </row>
    <row r="23" spans="1:6" x14ac:dyDescent="0.25">
      <c r="A23" s="974" t="s">
        <v>419</v>
      </c>
      <c r="B23" s="1019" t="s">
        <v>420</v>
      </c>
      <c r="C23" s="1011" t="s">
        <v>53</v>
      </c>
      <c r="D23" s="1077">
        <f>SUM(D24:D26)</f>
        <v>0</v>
      </c>
      <c r="E23" s="1078">
        <f>SUM(E24:E26)</f>
        <v>0</v>
      </c>
      <c r="F23" s="1076">
        <f t="shared" si="0"/>
        <v>0</v>
      </c>
    </row>
    <row r="24" spans="1:6" x14ac:dyDescent="0.25">
      <c r="A24" s="974" t="s">
        <v>421</v>
      </c>
      <c r="B24" s="1019">
        <v>531</v>
      </c>
      <c r="C24" s="1011" t="s">
        <v>56</v>
      </c>
      <c r="D24" s="1074">
        <v>0</v>
      </c>
      <c r="E24" s="1075">
        <v>0</v>
      </c>
      <c r="F24" s="1076">
        <f t="shared" si="0"/>
        <v>0</v>
      </c>
    </row>
    <row r="25" spans="1:6" x14ac:dyDescent="0.25">
      <c r="A25" s="974" t="s">
        <v>422</v>
      </c>
      <c r="B25" s="1019">
        <v>532</v>
      </c>
      <c r="C25" s="1011" t="s">
        <v>59</v>
      </c>
      <c r="D25" s="1074">
        <v>0</v>
      </c>
      <c r="E25" s="1075">
        <v>0</v>
      </c>
      <c r="F25" s="1076">
        <f t="shared" si="0"/>
        <v>0</v>
      </c>
    </row>
    <row r="26" spans="1:6" x14ac:dyDescent="0.25">
      <c r="A26" s="974" t="s">
        <v>423</v>
      </c>
      <c r="B26" s="1019">
        <v>538</v>
      </c>
      <c r="C26" s="1011" t="s">
        <v>62</v>
      </c>
      <c r="D26" s="1074">
        <v>0</v>
      </c>
      <c r="E26" s="1075">
        <v>0</v>
      </c>
      <c r="F26" s="1076">
        <f t="shared" si="0"/>
        <v>0</v>
      </c>
    </row>
    <row r="27" spans="1:6" x14ac:dyDescent="0.25">
      <c r="A27" s="974" t="s">
        <v>424</v>
      </c>
      <c r="B27" s="1019" t="s">
        <v>425</v>
      </c>
      <c r="C27" s="1011" t="s">
        <v>65</v>
      </c>
      <c r="D27" s="1077">
        <f>SUM(D28:D35)</f>
        <v>7.73</v>
      </c>
      <c r="E27" s="1078">
        <f>SUM(E28:E35)</f>
        <v>33.65</v>
      </c>
      <c r="F27" s="1076">
        <f t="shared" si="0"/>
        <v>41.379999999999995</v>
      </c>
    </row>
    <row r="28" spans="1:6" x14ac:dyDescent="0.25">
      <c r="A28" s="974" t="s">
        <v>426</v>
      </c>
      <c r="B28" s="1019">
        <v>541</v>
      </c>
      <c r="C28" s="1011" t="s">
        <v>68</v>
      </c>
      <c r="D28" s="1074">
        <v>0</v>
      </c>
      <c r="E28" s="1075">
        <v>0</v>
      </c>
      <c r="F28" s="1076">
        <f t="shared" si="0"/>
        <v>0</v>
      </c>
    </row>
    <row r="29" spans="1:6" x14ac:dyDescent="0.25">
      <c r="A29" s="974" t="s">
        <v>427</v>
      </c>
      <c r="B29" s="1019">
        <v>542</v>
      </c>
      <c r="C29" s="1011" t="s">
        <v>71</v>
      </c>
      <c r="D29" s="1074">
        <v>0</v>
      </c>
      <c r="E29" s="1075">
        <v>0</v>
      </c>
      <c r="F29" s="1076">
        <f t="shared" si="0"/>
        <v>0</v>
      </c>
    </row>
    <row r="30" spans="1:6" x14ac:dyDescent="0.25">
      <c r="A30" s="974" t="s">
        <v>428</v>
      </c>
      <c r="B30" s="1019">
        <v>543</v>
      </c>
      <c r="C30" s="1011" t="s">
        <v>74</v>
      </c>
      <c r="D30" s="1074">
        <v>0</v>
      </c>
      <c r="E30" s="1075">
        <v>0</v>
      </c>
      <c r="F30" s="1076">
        <f t="shared" si="0"/>
        <v>0</v>
      </c>
    </row>
    <row r="31" spans="1:6" x14ac:dyDescent="0.25">
      <c r="A31" s="974" t="s">
        <v>429</v>
      </c>
      <c r="B31" s="1019">
        <v>544</v>
      </c>
      <c r="C31" s="1011" t="s">
        <v>77</v>
      </c>
      <c r="D31" s="1074">
        <v>0</v>
      </c>
      <c r="E31" s="1075">
        <v>0</v>
      </c>
      <c r="F31" s="1076">
        <f t="shared" si="0"/>
        <v>0</v>
      </c>
    </row>
    <row r="32" spans="1:6" x14ac:dyDescent="0.25">
      <c r="A32" s="974" t="s">
        <v>430</v>
      </c>
      <c r="B32" s="1019">
        <v>545</v>
      </c>
      <c r="C32" s="1011" t="s">
        <v>80</v>
      </c>
      <c r="D32" s="1074">
        <v>0</v>
      </c>
      <c r="E32" s="1075">
        <v>0</v>
      </c>
      <c r="F32" s="1076">
        <f t="shared" si="0"/>
        <v>0</v>
      </c>
    </row>
    <row r="33" spans="1:6" x14ac:dyDescent="0.25">
      <c r="A33" s="974" t="s">
        <v>431</v>
      </c>
      <c r="B33" s="1019">
        <v>546</v>
      </c>
      <c r="C33" s="1011" t="s">
        <v>83</v>
      </c>
      <c r="D33" s="1074">
        <v>0</v>
      </c>
      <c r="E33" s="1075">
        <v>0</v>
      </c>
      <c r="F33" s="1076">
        <f t="shared" si="0"/>
        <v>0</v>
      </c>
    </row>
    <row r="34" spans="1:6" x14ac:dyDescent="0.25">
      <c r="A34" s="974" t="s">
        <v>432</v>
      </c>
      <c r="B34" s="1019">
        <v>548</v>
      </c>
      <c r="C34" s="1011" t="s">
        <v>85</v>
      </c>
      <c r="D34" s="1074">
        <v>0</v>
      </c>
      <c r="E34" s="1075">
        <v>0</v>
      </c>
      <c r="F34" s="1076">
        <f t="shared" si="0"/>
        <v>0</v>
      </c>
    </row>
    <row r="35" spans="1:6" x14ac:dyDescent="0.25">
      <c r="A35" s="974" t="s">
        <v>433</v>
      </c>
      <c r="B35" s="1019">
        <v>549</v>
      </c>
      <c r="C35" s="1011" t="s">
        <v>88</v>
      </c>
      <c r="D35" s="1074">
        <v>7.73</v>
      </c>
      <c r="E35" s="1075">
        <v>33.65</v>
      </c>
      <c r="F35" s="1076">
        <f t="shared" si="0"/>
        <v>41.379999999999995</v>
      </c>
    </row>
    <row r="36" spans="1:6" ht="12.75" customHeight="1" x14ac:dyDescent="0.25">
      <c r="A36" s="974" t="s">
        <v>774</v>
      </c>
      <c r="B36" s="1019" t="s">
        <v>434</v>
      </c>
      <c r="C36" s="1011" t="s">
        <v>91</v>
      </c>
      <c r="D36" s="1077">
        <f>SUM(D37:D42)</f>
        <v>116.5</v>
      </c>
      <c r="E36" s="1078">
        <f>SUM(E37:E42)</f>
        <v>272.18</v>
      </c>
      <c r="F36" s="1076">
        <f t="shared" si="0"/>
        <v>388.68</v>
      </c>
    </row>
    <row r="37" spans="1:6" x14ac:dyDescent="0.25">
      <c r="A37" s="974" t="s">
        <v>775</v>
      </c>
      <c r="B37" s="1019">
        <v>551</v>
      </c>
      <c r="C37" s="1011" t="s">
        <v>94</v>
      </c>
      <c r="D37" s="1074">
        <v>116.5</v>
      </c>
      <c r="E37" s="1075">
        <v>272.18</v>
      </c>
      <c r="F37" s="1076">
        <f t="shared" si="0"/>
        <v>388.68</v>
      </c>
    </row>
    <row r="38" spans="1:6" ht="12.75" customHeight="1" x14ac:dyDescent="0.25">
      <c r="A38" s="974" t="s">
        <v>776</v>
      </c>
      <c r="B38" s="1019">
        <v>552</v>
      </c>
      <c r="C38" s="1011" t="s">
        <v>97</v>
      </c>
      <c r="D38" s="1074">
        <v>0</v>
      </c>
      <c r="E38" s="1075">
        <v>0</v>
      </c>
      <c r="F38" s="1076">
        <f t="shared" si="0"/>
        <v>0</v>
      </c>
    </row>
    <row r="39" spans="1:6" x14ac:dyDescent="0.25">
      <c r="A39" s="974" t="s">
        <v>435</v>
      </c>
      <c r="B39" s="1019">
        <v>553</v>
      </c>
      <c r="C39" s="1011" t="s">
        <v>100</v>
      </c>
      <c r="D39" s="1074">
        <v>0</v>
      </c>
      <c r="E39" s="1075">
        <v>0</v>
      </c>
      <c r="F39" s="1076">
        <f t="shared" si="0"/>
        <v>0</v>
      </c>
    </row>
    <row r="40" spans="1:6" x14ac:dyDescent="0.25">
      <c r="A40" s="974" t="s">
        <v>436</v>
      </c>
      <c r="B40" s="1019">
        <v>554</v>
      </c>
      <c r="C40" s="1011" t="s">
        <v>103</v>
      </c>
      <c r="D40" s="1074">
        <v>0</v>
      </c>
      <c r="E40" s="1075">
        <v>0</v>
      </c>
      <c r="F40" s="1076">
        <f t="shared" si="0"/>
        <v>0</v>
      </c>
    </row>
    <row r="41" spans="1:6" x14ac:dyDescent="0.25">
      <c r="A41" s="974" t="s">
        <v>437</v>
      </c>
      <c r="B41" s="1019">
        <v>556</v>
      </c>
      <c r="C41" s="1011" t="s">
        <v>106</v>
      </c>
      <c r="D41" s="1074">
        <v>0</v>
      </c>
      <c r="E41" s="1075">
        <v>0</v>
      </c>
      <c r="F41" s="1076">
        <f t="shared" si="0"/>
        <v>0</v>
      </c>
    </row>
    <row r="42" spans="1:6" x14ac:dyDescent="0.25">
      <c r="A42" s="974" t="s">
        <v>438</v>
      </c>
      <c r="B42" s="1019">
        <v>559</v>
      </c>
      <c r="C42" s="1011" t="s">
        <v>109</v>
      </c>
      <c r="D42" s="1074">
        <v>0</v>
      </c>
      <c r="E42" s="1075">
        <v>0</v>
      </c>
      <c r="F42" s="1076">
        <f t="shared" si="0"/>
        <v>0</v>
      </c>
    </row>
    <row r="43" spans="1:6" x14ac:dyDescent="0.25">
      <c r="A43" s="974" t="s">
        <v>439</v>
      </c>
      <c r="B43" s="1019" t="s">
        <v>440</v>
      </c>
      <c r="C43" s="1011" t="s">
        <v>112</v>
      </c>
      <c r="D43" s="1077">
        <f>SUM(D44:D45)</f>
        <v>0</v>
      </c>
      <c r="E43" s="1078">
        <f>SUM(E44:E45)</f>
        <v>0</v>
      </c>
      <c r="F43" s="1076">
        <f t="shared" si="0"/>
        <v>0</v>
      </c>
    </row>
    <row r="44" spans="1:6" x14ac:dyDescent="0.25">
      <c r="A44" s="974" t="s">
        <v>777</v>
      </c>
      <c r="B44" s="1019">
        <v>581</v>
      </c>
      <c r="C44" s="1011" t="s">
        <v>115</v>
      </c>
      <c r="D44" s="1074">
        <v>0</v>
      </c>
      <c r="E44" s="1075">
        <v>0</v>
      </c>
      <c r="F44" s="1076">
        <f t="shared" si="0"/>
        <v>0</v>
      </c>
    </row>
    <row r="45" spans="1:6" x14ac:dyDescent="0.25">
      <c r="A45" s="974" t="s">
        <v>441</v>
      </c>
      <c r="B45" s="1019">
        <v>582</v>
      </c>
      <c r="C45" s="1011" t="s">
        <v>117</v>
      </c>
      <c r="D45" s="1074">
        <v>0</v>
      </c>
      <c r="E45" s="1075">
        <v>0</v>
      </c>
      <c r="F45" s="1076">
        <f t="shared" si="0"/>
        <v>0</v>
      </c>
    </row>
    <row r="46" spans="1:6" x14ac:dyDescent="0.25">
      <c r="A46" s="974" t="s">
        <v>442</v>
      </c>
      <c r="B46" s="1019" t="s">
        <v>443</v>
      </c>
      <c r="C46" s="1011" t="s">
        <v>119</v>
      </c>
      <c r="D46" s="1077">
        <f>D47</f>
        <v>0</v>
      </c>
      <c r="E46" s="1078">
        <f>E47</f>
        <v>0</v>
      </c>
      <c r="F46" s="1076">
        <f t="shared" si="0"/>
        <v>0</v>
      </c>
    </row>
    <row r="47" spans="1:6" x14ac:dyDescent="0.25">
      <c r="A47" s="974" t="s">
        <v>444</v>
      </c>
      <c r="B47" s="1019">
        <v>595</v>
      </c>
      <c r="C47" s="1011" t="s">
        <v>122</v>
      </c>
      <c r="D47" s="1074"/>
      <c r="E47" s="1075"/>
      <c r="F47" s="1076">
        <f t="shared" si="0"/>
        <v>0</v>
      </c>
    </row>
    <row r="48" spans="1:6" ht="23.25" customHeight="1" thickBot="1" x14ac:dyDescent="0.3">
      <c r="A48" s="969" t="s">
        <v>445</v>
      </c>
      <c r="B48" s="1018" t="s">
        <v>446</v>
      </c>
      <c r="C48" s="1017" t="s">
        <v>125</v>
      </c>
      <c r="D48" s="1079">
        <f>D7+D12+D17+D23+D27+D36+D43+D46</f>
        <v>4419.91</v>
      </c>
      <c r="E48" s="1080">
        <f>E7+E12+E17+E23+E27+E36+E43+E46</f>
        <v>9787.2000000000007</v>
      </c>
      <c r="F48" s="1081">
        <f t="shared" si="0"/>
        <v>14207.11</v>
      </c>
    </row>
    <row r="49" spans="1:6" ht="12.75" customHeight="1" thickBot="1" x14ac:dyDescent="0.3">
      <c r="A49" s="1171" t="s">
        <v>447</v>
      </c>
      <c r="B49" s="1172"/>
      <c r="C49" s="1172"/>
      <c r="D49" s="1172"/>
      <c r="E49" s="1173"/>
      <c r="F49" s="1070"/>
    </row>
    <row r="50" spans="1:6" x14ac:dyDescent="0.25">
      <c r="A50" s="985" t="s">
        <v>448</v>
      </c>
      <c r="B50" s="1016" t="s">
        <v>449</v>
      </c>
      <c r="C50" s="1015" t="s">
        <v>128</v>
      </c>
      <c r="D50" s="1071">
        <f>SUM(D51:D53)</f>
        <v>2347.6799999999998</v>
      </c>
      <c r="E50" s="1072">
        <f>SUM(E51:E53)</f>
        <v>9444.09</v>
      </c>
      <c r="F50" s="1082">
        <f t="shared" ref="F50:F89" si="1">D50+E50</f>
        <v>11791.77</v>
      </c>
    </row>
    <row r="51" spans="1:6" x14ac:dyDescent="0.25">
      <c r="A51" s="974" t="s">
        <v>450</v>
      </c>
      <c r="B51" s="1012">
        <v>601</v>
      </c>
      <c r="C51" s="1011" t="s">
        <v>131</v>
      </c>
      <c r="D51" s="1074">
        <v>0</v>
      </c>
      <c r="E51" s="1075">
        <v>0</v>
      </c>
      <c r="F51" s="1076">
        <f t="shared" si="1"/>
        <v>0</v>
      </c>
    </row>
    <row r="52" spans="1:6" x14ac:dyDescent="0.25">
      <c r="A52" s="974" t="s">
        <v>451</v>
      </c>
      <c r="B52" s="1012">
        <v>602</v>
      </c>
      <c r="C52" s="1011" t="s">
        <v>134</v>
      </c>
      <c r="D52" s="1074">
        <v>2347.6799999999998</v>
      </c>
      <c r="E52" s="1075">
        <v>9321.75</v>
      </c>
      <c r="F52" s="1076">
        <f t="shared" si="1"/>
        <v>11669.43</v>
      </c>
    </row>
    <row r="53" spans="1:6" x14ac:dyDescent="0.25">
      <c r="A53" s="974" t="s">
        <v>452</v>
      </c>
      <c r="B53" s="1012">
        <v>604</v>
      </c>
      <c r="C53" s="1011" t="s">
        <v>137</v>
      </c>
      <c r="D53" s="1074">
        <v>0</v>
      </c>
      <c r="E53" s="1075">
        <v>122.34</v>
      </c>
      <c r="F53" s="1076">
        <f t="shared" si="1"/>
        <v>122.34</v>
      </c>
    </row>
    <row r="54" spans="1:6" x14ac:dyDescent="0.25">
      <c r="A54" s="974" t="s">
        <v>453</v>
      </c>
      <c r="B54" s="1012" t="s">
        <v>454</v>
      </c>
      <c r="C54" s="1011" t="s">
        <v>140</v>
      </c>
      <c r="D54" s="1077">
        <f>SUM(D55:D58)</f>
        <v>0</v>
      </c>
      <c r="E54" s="1078">
        <f>SUM(E55:E58)</f>
        <v>0</v>
      </c>
      <c r="F54" s="1076">
        <f t="shared" si="1"/>
        <v>0</v>
      </c>
    </row>
    <row r="55" spans="1:6" x14ac:dyDescent="0.25">
      <c r="A55" s="974" t="s">
        <v>455</v>
      </c>
      <c r="B55" s="1012">
        <v>611</v>
      </c>
      <c r="C55" s="1011" t="s">
        <v>143</v>
      </c>
      <c r="D55" s="1074">
        <v>0</v>
      </c>
      <c r="E55" s="1075">
        <v>0</v>
      </c>
      <c r="F55" s="1076">
        <f t="shared" si="1"/>
        <v>0</v>
      </c>
    </row>
    <row r="56" spans="1:6" x14ac:dyDescent="0.25">
      <c r="A56" s="974" t="s">
        <v>456</v>
      </c>
      <c r="B56" s="1012">
        <v>612</v>
      </c>
      <c r="C56" s="1011" t="s">
        <v>146</v>
      </c>
      <c r="D56" s="1074">
        <v>0</v>
      </c>
      <c r="E56" s="1075">
        <v>0</v>
      </c>
      <c r="F56" s="1076">
        <f t="shared" si="1"/>
        <v>0</v>
      </c>
    </row>
    <row r="57" spans="1:6" x14ac:dyDescent="0.25">
      <c r="A57" s="974" t="s">
        <v>457</v>
      </c>
      <c r="B57" s="1012">
        <v>613</v>
      </c>
      <c r="C57" s="1011" t="s">
        <v>149</v>
      </c>
      <c r="D57" s="1074">
        <v>0</v>
      </c>
      <c r="E57" s="1075">
        <v>0</v>
      </c>
      <c r="F57" s="1076">
        <f t="shared" si="1"/>
        <v>0</v>
      </c>
    </row>
    <row r="58" spans="1:6" x14ac:dyDescent="0.25">
      <c r="A58" s="974" t="s">
        <v>458</v>
      </c>
      <c r="B58" s="1012">
        <v>614</v>
      </c>
      <c r="C58" s="1011" t="s">
        <v>152</v>
      </c>
      <c r="D58" s="1074">
        <v>0</v>
      </c>
      <c r="E58" s="1075">
        <v>0</v>
      </c>
      <c r="F58" s="1076">
        <f t="shared" si="1"/>
        <v>0</v>
      </c>
    </row>
    <row r="59" spans="1:6" x14ac:dyDescent="0.25">
      <c r="A59" s="974" t="s">
        <v>459</v>
      </c>
      <c r="B59" s="1012" t="s">
        <v>460</v>
      </c>
      <c r="C59" s="1011" t="s">
        <v>155</v>
      </c>
      <c r="D59" s="1077">
        <f>SUM(D60:D63)</f>
        <v>0</v>
      </c>
      <c r="E59" s="1078">
        <f>SUM(E60:E63)</f>
        <v>0</v>
      </c>
      <c r="F59" s="1076">
        <f t="shared" si="1"/>
        <v>0</v>
      </c>
    </row>
    <row r="60" spans="1:6" x14ac:dyDescent="0.25">
      <c r="A60" s="974" t="s">
        <v>461</v>
      </c>
      <c r="B60" s="1012">
        <v>621</v>
      </c>
      <c r="C60" s="1011" t="s">
        <v>158</v>
      </c>
      <c r="D60" s="1074">
        <v>0</v>
      </c>
      <c r="E60" s="1075">
        <v>0</v>
      </c>
      <c r="F60" s="1076">
        <f t="shared" si="1"/>
        <v>0</v>
      </c>
    </row>
    <row r="61" spans="1:6" x14ac:dyDescent="0.25">
      <c r="A61" s="974" t="s">
        <v>462</v>
      </c>
      <c r="B61" s="1012">
        <v>622</v>
      </c>
      <c r="C61" s="1011" t="s">
        <v>161</v>
      </c>
      <c r="D61" s="1074">
        <v>0</v>
      </c>
      <c r="E61" s="1075">
        <v>0</v>
      </c>
      <c r="F61" s="1076">
        <f t="shared" si="1"/>
        <v>0</v>
      </c>
    </row>
    <row r="62" spans="1:6" x14ac:dyDescent="0.25">
      <c r="A62" s="974" t="s">
        <v>463</v>
      </c>
      <c r="B62" s="1012">
        <v>623</v>
      </c>
      <c r="C62" s="1011" t="s">
        <v>164</v>
      </c>
      <c r="D62" s="1074">
        <v>0</v>
      </c>
      <c r="E62" s="1075">
        <v>0</v>
      </c>
      <c r="F62" s="1076">
        <f t="shared" si="1"/>
        <v>0</v>
      </c>
    </row>
    <row r="63" spans="1:6" x14ac:dyDescent="0.25">
      <c r="A63" s="974" t="s">
        <v>464</v>
      </c>
      <c r="B63" s="1012">
        <v>624</v>
      </c>
      <c r="C63" s="1011" t="s">
        <v>166</v>
      </c>
      <c r="D63" s="1074">
        <v>0</v>
      </c>
      <c r="E63" s="1075">
        <v>0</v>
      </c>
      <c r="F63" s="1076">
        <f t="shared" si="1"/>
        <v>0</v>
      </c>
    </row>
    <row r="64" spans="1:6" x14ac:dyDescent="0.25">
      <c r="A64" s="974" t="s">
        <v>465</v>
      </c>
      <c r="B64" s="1012" t="s">
        <v>466</v>
      </c>
      <c r="C64" s="1011" t="s">
        <v>169</v>
      </c>
      <c r="D64" s="1077">
        <f>SUM(D65:D71)</f>
        <v>0</v>
      </c>
      <c r="E64" s="1078">
        <f>SUM(E65:E71)</f>
        <v>108.28</v>
      </c>
      <c r="F64" s="1076">
        <f t="shared" si="1"/>
        <v>108.28</v>
      </c>
    </row>
    <row r="65" spans="1:6" x14ac:dyDescent="0.25">
      <c r="A65" s="974" t="s">
        <v>467</v>
      </c>
      <c r="B65" s="1012">
        <v>641</v>
      </c>
      <c r="C65" s="1011" t="s">
        <v>172</v>
      </c>
      <c r="D65" s="1074">
        <v>0</v>
      </c>
      <c r="E65" s="1075">
        <v>77.11</v>
      </c>
      <c r="F65" s="1076">
        <f t="shared" si="1"/>
        <v>77.11</v>
      </c>
    </row>
    <row r="66" spans="1:6" x14ac:dyDescent="0.25">
      <c r="A66" s="974" t="s">
        <v>468</v>
      </c>
      <c r="B66" s="1012">
        <v>642</v>
      </c>
      <c r="C66" s="1011" t="s">
        <v>174</v>
      </c>
      <c r="D66" s="1074">
        <v>0</v>
      </c>
      <c r="E66" s="1075">
        <v>0</v>
      </c>
      <c r="F66" s="1076">
        <f t="shared" si="1"/>
        <v>0</v>
      </c>
    </row>
    <row r="67" spans="1:6" x14ac:dyDescent="0.25">
      <c r="A67" s="974" t="s">
        <v>469</v>
      </c>
      <c r="B67" s="1012">
        <v>643</v>
      </c>
      <c r="C67" s="1011" t="s">
        <v>177</v>
      </c>
      <c r="D67" s="1074">
        <v>0</v>
      </c>
      <c r="E67" s="1075">
        <v>0</v>
      </c>
      <c r="F67" s="1076">
        <f t="shared" si="1"/>
        <v>0</v>
      </c>
    </row>
    <row r="68" spans="1:6" x14ac:dyDescent="0.25">
      <c r="A68" s="974" t="s">
        <v>470</v>
      </c>
      <c r="B68" s="1012">
        <v>644</v>
      </c>
      <c r="C68" s="1011" t="s">
        <v>180</v>
      </c>
      <c r="D68" s="1074">
        <v>0</v>
      </c>
      <c r="E68" s="1075">
        <v>19.329999999999998</v>
      </c>
      <c r="F68" s="1076">
        <f t="shared" si="1"/>
        <v>19.329999999999998</v>
      </c>
    </row>
    <row r="69" spans="1:6" x14ac:dyDescent="0.25">
      <c r="A69" s="974" t="s">
        <v>471</v>
      </c>
      <c r="B69" s="1012">
        <v>645</v>
      </c>
      <c r="C69" s="1011" t="s">
        <v>183</v>
      </c>
      <c r="D69" s="1074">
        <v>0</v>
      </c>
      <c r="E69" s="1075">
        <v>0</v>
      </c>
      <c r="F69" s="1076">
        <f t="shared" si="1"/>
        <v>0</v>
      </c>
    </row>
    <row r="70" spans="1:6" x14ac:dyDescent="0.25">
      <c r="A70" s="974" t="s">
        <v>472</v>
      </c>
      <c r="B70" s="1012">
        <v>648</v>
      </c>
      <c r="C70" s="1011" t="s">
        <v>186</v>
      </c>
      <c r="D70" s="1074">
        <v>0</v>
      </c>
      <c r="E70" s="1075">
        <v>0</v>
      </c>
      <c r="F70" s="1076">
        <f t="shared" si="1"/>
        <v>0</v>
      </c>
    </row>
    <row r="71" spans="1:6" x14ac:dyDescent="0.25">
      <c r="A71" s="974" t="s">
        <v>473</v>
      </c>
      <c r="B71" s="1012">
        <v>649</v>
      </c>
      <c r="C71" s="1011" t="s">
        <v>189</v>
      </c>
      <c r="D71" s="1074">
        <v>0</v>
      </c>
      <c r="E71" s="1075">
        <v>11.84</v>
      </c>
      <c r="F71" s="1076">
        <f t="shared" si="1"/>
        <v>11.84</v>
      </c>
    </row>
    <row r="72" spans="1:6" ht="12.75" customHeight="1" x14ac:dyDescent="0.25">
      <c r="A72" s="974" t="s">
        <v>778</v>
      </c>
      <c r="B72" s="1012" t="s">
        <v>474</v>
      </c>
      <c r="C72" s="1011" t="s">
        <v>191</v>
      </c>
      <c r="D72" s="1077">
        <f>SUM(D73:D79)</f>
        <v>0</v>
      </c>
      <c r="E72" s="1078">
        <f>SUM(E73:E79)</f>
        <v>0</v>
      </c>
      <c r="F72" s="1076">
        <f t="shared" si="1"/>
        <v>0</v>
      </c>
    </row>
    <row r="73" spans="1:6" x14ac:dyDescent="0.25">
      <c r="A73" s="974" t="s">
        <v>779</v>
      </c>
      <c r="B73" s="1012">
        <v>652</v>
      </c>
      <c r="C73" s="1011" t="s">
        <v>194</v>
      </c>
      <c r="D73" s="1074">
        <v>0</v>
      </c>
      <c r="E73" s="1075">
        <v>0</v>
      </c>
      <c r="F73" s="1076">
        <f t="shared" si="1"/>
        <v>0</v>
      </c>
    </row>
    <row r="74" spans="1:6" x14ac:dyDescent="0.25">
      <c r="A74" s="974" t="s">
        <v>475</v>
      </c>
      <c r="B74" s="1012">
        <v>653</v>
      </c>
      <c r="C74" s="1011" t="s">
        <v>196</v>
      </c>
      <c r="D74" s="1074">
        <v>0</v>
      </c>
      <c r="E74" s="1075">
        <v>0</v>
      </c>
      <c r="F74" s="1076">
        <f t="shared" si="1"/>
        <v>0</v>
      </c>
    </row>
    <row r="75" spans="1:6" x14ac:dyDescent="0.25">
      <c r="A75" s="974" t="s">
        <v>476</v>
      </c>
      <c r="B75" s="1012">
        <v>654</v>
      </c>
      <c r="C75" s="1011" t="s">
        <v>198</v>
      </c>
      <c r="D75" s="1074">
        <v>0</v>
      </c>
      <c r="E75" s="1075">
        <v>0</v>
      </c>
      <c r="F75" s="1076">
        <f t="shared" si="1"/>
        <v>0</v>
      </c>
    </row>
    <row r="76" spans="1:6" x14ac:dyDescent="0.25">
      <c r="A76" s="974" t="s">
        <v>477</v>
      </c>
      <c r="B76" s="1012">
        <v>655</v>
      </c>
      <c r="C76" s="1011" t="s">
        <v>201</v>
      </c>
      <c r="D76" s="1074">
        <v>0</v>
      </c>
      <c r="E76" s="1075">
        <v>0</v>
      </c>
      <c r="F76" s="1076">
        <f t="shared" si="1"/>
        <v>0</v>
      </c>
    </row>
    <row r="77" spans="1:6" x14ac:dyDescent="0.25">
      <c r="A77" s="974" t="s">
        <v>478</v>
      </c>
      <c r="B77" s="1012">
        <v>656</v>
      </c>
      <c r="C77" s="1011" t="s">
        <v>204</v>
      </c>
      <c r="D77" s="1074">
        <v>0</v>
      </c>
      <c r="E77" s="1075">
        <v>0</v>
      </c>
      <c r="F77" s="1076">
        <f t="shared" si="1"/>
        <v>0</v>
      </c>
    </row>
    <row r="78" spans="1:6" x14ac:dyDescent="0.25">
      <c r="A78" s="974" t="s">
        <v>479</v>
      </c>
      <c r="B78" s="1012">
        <v>657</v>
      </c>
      <c r="C78" s="1011" t="s">
        <v>207</v>
      </c>
      <c r="D78" s="1074">
        <v>0</v>
      </c>
      <c r="E78" s="1075">
        <v>0</v>
      </c>
      <c r="F78" s="1076">
        <f t="shared" si="1"/>
        <v>0</v>
      </c>
    </row>
    <row r="79" spans="1:6" x14ac:dyDescent="0.25">
      <c r="A79" s="974" t="s">
        <v>480</v>
      </c>
      <c r="B79" s="1012">
        <v>659</v>
      </c>
      <c r="C79" s="1011" t="s">
        <v>210</v>
      </c>
      <c r="D79" s="1074">
        <v>0</v>
      </c>
      <c r="E79" s="1075">
        <v>0</v>
      </c>
      <c r="F79" s="1076">
        <f t="shared" si="1"/>
        <v>0</v>
      </c>
    </row>
    <row r="80" spans="1:6" x14ac:dyDescent="0.25">
      <c r="A80" s="974" t="s">
        <v>481</v>
      </c>
      <c r="B80" s="1012" t="s">
        <v>482</v>
      </c>
      <c r="C80" s="1011" t="s">
        <v>213</v>
      </c>
      <c r="D80" s="1077">
        <f>SUM(D81:D83)</f>
        <v>0</v>
      </c>
      <c r="E80" s="1078">
        <f>SUM(E81:E83)</f>
        <v>0</v>
      </c>
      <c r="F80" s="1076">
        <f t="shared" si="1"/>
        <v>0</v>
      </c>
    </row>
    <row r="81" spans="1:6" x14ac:dyDescent="0.25">
      <c r="A81" s="974" t="s">
        <v>483</v>
      </c>
      <c r="B81" s="1012">
        <v>681</v>
      </c>
      <c r="C81" s="1011" t="s">
        <v>216</v>
      </c>
      <c r="D81" s="1074">
        <v>0</v>
      </c>
      <c r="E81" s="1075">
        <v>0</v>
      </c>
      <c r="F81" s="1076">
        <f t="shared" si="1"/>
        <v>0</v>
      </c>
    </row>
    <row r="82" spans="1:6" x14ac:dyDescent="0.25">
      <c r="A82" s="974" t="s">
        <v>484</v>
      </c>
      <c r="B82" s="1012">
        <v>682</v>
      </c>
      <c r="C82" s="1011" t="s">
        <v>219</v>
      </c>
      <c r="D82" s="1074">
        <v>0</v>
      </c>
      <c r="E82" s="1075">
        <v>0</v>
      </c>
      <c r="F82" s="1076">
        <f t="shared" si="1"/>
        <v>0</v>
      </c>
    </row>
    <row r="83" spans="1:6" x14ac:dyDescent="0.25">
      <c r="A83" s="974" t="s">
        <v>485</v>
      </c>
      <c r="B83" s="1012">
        <v>684</v>
      </c>
      <c r="C83" s="1011" t="s">
        <v>222</v>
      </c>
      <c r="D83" s="1074">
        <v>0</v>
      </c>
      <c r="E83" s="1075">
        <v>0</v>
      </c>
      <c r="F83" s="1076">
        <f t="shared" si="1"/>
        <v>0</v>
      </c>
    </row>
    <row r="84" spans="1:6" x14ac:dyDescent="0.25">
      <c r="A84" s="974" t="s">
        <v>486</v>
      </c>
      <c r="B84" s="1012" t="s">
        <v>487</v>
      </c>
      <c r="C84" s="1011" t="s">
        <v>225</v>
      </c>
      <c r="D84" s="1077">
        <f>D85</f>
        <v>1308.9100000000001</v>
      </c>
      <c r="E84" s="1078">
        <f>E85</f>
        <v>0</v>
      </c>
      <c r="F84" s="1076">
        <f t="shared" si="1"/>
        <v>1308.9100000000001</v>
      </c>
    </row>
    <row r="85" spans="1:6" x14ac:dyDescent="0.25">
      <c r="A85" s="974" t="s">
        <v>488</v>
      </c>
      <c r="B85" s="1012">
        <v>691</v>
      </c>
      <c r="C85" s="1011" t="s">
        <v>228</v>
      </c>
      <c r="D85" s="1074">
        <v>1308.9100000000001</v>
      </c>
      <c r="E85" s="1075">
        <v>0</v>
      </c>
      <c r="F85" s="1076">
        <f t="shared" si="1"/>
        <v>1308.9100000000001</v>
      </c>
    </row>
    <row r="86" spans="1:6" ht="25.5" x14ac:dyDescent="0.25">
      <c r="A86" s="974" t="s">
        <v>489</v>
      </c>
      <c r="B86" s="1014" t="s">
        <v>677</v>
      </c>
      <c r="C86" s="1011" t="s">
        <v>231</v>
      </c>
      <c r="D86" s="1077">
        <f>D50+D54+D59+D64+D72+D80+D84</f>
        <v>3656.59</v>
      </c>
      <c r="E86" s="1078">
        <f>E50+E54+E59+E64+E72+E80+E84</f>
        <v>9552.3700000000008</v>
      </c>
      <c r="F86" s="1076">
        <f t="shared" si="1"/>
        <v>13208.960000000001</v>
      </c>
    </row>
    <row r="87" spans="1:6" x14ac:dyDescent="0.25">
      <c r="A87" s="1013" t="s">
        <v>490</v>
      </c>
      <c r="B87" s="1012" t="s">
        <v>491</v>
      </c>
      <c r="C87" s="1011" t="s">
        <v>234</v>
      </c>
      <c r="D87" s="1077">
        <f>D86-D48</f>
        <v>-763.31999999999971</v>
      </c>
      <c r="E87" s="1078">
        <f>E86-E48</f>
        <v>-234.82999999999993</v>
      </c>
      <c r="F87" s="1076">
        <f t="shared" si="1"/>
        <v>-998.14999999999964</v>
      </c>
    </row>
    <row r="88" spans="1:6" x14ac:dyDescent="0.25">
      <c r="A88" s="974" t="s">
        <v>492</v>
      </c>
      <c r="B88" s="1012">
        <v>591</v>
      </c>
      <c r="C88" s="1011" t="s">
        <v>237</v>
      </c>
      <c r="D88" s="1074">
        <v>0</v>
      </c>
      <c r="E88" s="1075">
        <v>0</v>
      </c>
      <c r="F88" s="1076">
        <f t="shared" si="1"/>
        <v>0</v>
      </c>
    </row>
    <row r="89" spans="1:6" ht="13.5" thickBot="1" x14ac:dyDescent="0.3">
      <c r="A89" s="1013" t="s">
        <v>493</v>
      </c>
      <c r="B89" s="1012" t="s">
        <v>494</v>
      </c>
      <c r="C89" s="1011" t="s">
        <v>240</v>
      </c>
      <c r="D89" s="1074">
        <f>D87-D88</f>
        <v>-763.31999999999971</v>
      </c>
      <c r="E89" s="1075">
        <f>E87-E88</f>
        <v>-234.82999999999993</v>
      </c>
      <c r="F89" s="1083">
        <f t="shared" si="1"/>
        <v>-998.14999999999964</v>
      </c>
    </row>
    <row r="90" spans="1:6" ht="24" customHeight="1" x14ac:dyDescent="0.25">
      <c r="A90" s="1176"/>
      <c r="B90" s="1177"/>
      <c r="C90" s="1178"/>
      <c r="D90" s="1174" t="s">
        <v>790</v>
      </c>
      <c r="E90" s="1175"/>
      <c r="F90" s="1084"/>
    </row>
    <row r="91" spans="1:6" ht="12.75" customHeight="1" x14ac:dyDescent="0.25">
      <c r="A91" s="1010" t="s">
        <v>495</v>
      </c>
      <c r="B91" s="1009" t="s">
        <v>606</v>
      </c>
      <c r="C91" s="983" t="s">
        <v>243</v>
      </c>
      <c r="D91" s="1183">
        <f>+D87+E87</f>
        <v>-998.14999999999964</v>
      </c>
      <c r="E91" s="1184"/>
      <c r="F91" s="1085"/>
    </row>
    <row r="92" spans="1:6" ht="12.75" customHeight="1" thickBot="1" x14ac:dyDescent="0.3">
      <c r="A92" s="1008" t="s">
        <v>496</v>
      </c>
      <c r="B92" s="968" t="s">
        <v>607</v>
      </c>
      <c r="C92" s="967" t="s">
        <v>246</v>
      </c>
      <c r="D92" s="1166">
        <f>+D89+E89</f>
        <v>-998.14999999999964</v>
      </c>
      <c r="E92" s="1167"/>
      <c r="F92" s="1085"/>
    </row>
    <row r="93" spans="1:6" ht="12.75" customHeight="1" x14ac:dyDescent="0.25">
      <c r="A93" s="1007"/>
      <c r="B93" s="961"/>
      <c r="C93" s="961"/>
    </row>
    <row r="94" spans="1:6" ht="12.75" customHeight="1" x14ac:dyDescent="0.25">
      <c r="A94" s="964" t="s">
        <v>657</v>
      </c>
      <c r="B94" s="961"/>
      <c r="C94" s="961"/>
    </row>
    <row r="95" spans="1:6" ht="12.75" customHeight="1" x14ac:dyDescent="0.25">
      <c r="A95" s="61" t="s">
        <v>1275</v>
      </c>
      <c r="B95" s="961"/>
      <c r="C95" s="961"/>
    </row>
    <row r="96" spans="1:6" x14ac:dyDescent="0.25">
      <c r="A96" s="958" t="s">
        <v>680</v>
      </c>
      <c r="B96" s="960"/>
      <c r="C96" s="960"/>
    </row>
    <row r="97" spans="1:3" x14ac:dyDescent="0.25">
      <c r="A97" s="61" t="s">
        <v>675</v>
      </c>
      <c r="B97" s="960"/>
      <c r="C97" s="960"/>
    </row>
    <row r="98" spans="1:3" x14ac:dyDescent="0.25">
      <c r="A98" s="61" t="s">
        <v>1213</v>
      </c>
    </row>
  </sheetData>
  <mergeCells count="10">
    <mergeCell ref="A90:C90"/>
    <mergeCell ref="D90:E90"/>
    <mergeCell ref="D91:E91"/>
    <mergeCell ref="D92:E92"/>
    <mergeCell ref="A1:E1"/>
    <mergeCell ref="A2:E2"/>
    <mergeCell ref="A3:E3"/>
    <mergeCell ref="A4:E4"/>
    <mergeCell ref="B6:C6"/>
    <mergeCell ref="A49:E49"/>
  </mergeCells>
  <pageMargins left="0" right="0" top="0.39370078740157483" bottom="0.39370078740157483" header="0.51181102362204722" footer="0.51181102362204722"/>
  <pageSetup paperSize="9" scale="75" orientation="portrait" r:id="rId1"/>
  <headerFooter alignWithMargins="0"/>
  <rowBreaks count="1" manualBreakCount="1">
    <brk id="4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heetViews>
  <sheetFormatPr defaultRowHeight="12.75" x14ac:dyDescent="0.25"/>
  <cols>
    <col min="1" max="1" width="45.5703125" style="13" customWidth="1"/>
    <col min="2" max="2" width="14.5703125" style="13" customWidth="1"/>
    <col min="3" max="3" width="15" style="13" customWidth="1"/>
    <col min="4" max="4" width="17.42578125" style="13" customWidth="1"/>
    <col min="5" max="16384" width="9.140625" style="13"/>
  </cols>
  <sheetData>
    <row r="1" spans="1:7" ht="15.75" x14ac:dyDescent="0.25">
      <c r="A1" s="19" t="s">
        <v>1350</v>
      </c>
      <c r="B1" s="9"/>
      <c r="C1" s="9"/>
      <c r="E1" s="51"/>
      <c r="F1" s="9"/>
      <c r="G1" s="9"/>
    </row>
    <row r="2" spans="1:7" ht="13.5" thickBot="1" x14ac:dyDescent="0.25">
      <c r="A2" s="28"/>
      <c r="B2" s="28"/>
      <c r="C2" s="28"/>
      <c r="D2" s="10" t="s">
        <v>517</v>
      </c>
      <c r="E2" s="28"/>
      <c r="F2" s="9"/>
      <c r="G2" s="9"/>
    </row>
    <row r="3" spans="1:7" s="24" customFormat="1" ht="26.25" thickBot="1" x14ac:dyDescent="0.3">
      <c r="A3" s="29" t="s">
        <v>788</v>
      </c>
      <c r="B3" s="30" t="s">
        <v>518</v>
      </c>
      <c r="C3" s="31" t="s">
        <v>519</v>
      </c>
      <c r="D3" s="32" t="s">
        <v>520</v>
      </c>
      <c r="E3" s="23"/>
      <c r="F3" s="23"/>
      <c r="G3" s="23"/>
    </row>
    <row r="4" spans="1:7" s="15" customFormat="1" x14ac:dyDescent="0.25">
      <c r="A4" s="134" t="s">
        <v>399</v>
      </c>
      <c r="B4" s="135">
        <v>9384.6</v>
      </c>
      <c r="C4" s="136">
        <v>15.13</v>
      </c>
      <c r="D4" s="137">
        <f>SUM(B4:C4)</f>
        <v>9399.73</v>
      </c>
      <c r="E4" s="14"/>
      <c r="F4" s="14"/>
      <c r="G4" s="14"/>
    </row>
    <row r="5" spans="1:7" s="15" customFormat="1" x14ac:dyDescent="0.25">
      <c r="A5" s="138" t="s">
        <v>400</v>
      </c>
      <c r="B5" s="139">
        <v>0.33</v>
      </c>
      <c r="C5" s="140">
        <v>0</v>
      </c>
      <c r="D5" s="137">
        <f t="shared" ref="D5:D16" si="0">SUM(B5:C5)</f>
        <v>0.33</v>
      </c>
      <c r="E5" s="14"/>
      <c r="F5" s="103"/>
      <c r="G5" s="14"/>
    </row>
    <row r="6" spans="1:7" s="15" customFormat="1" x14ac:dyDescent="0.25">
      <c r="A6" s="138" t="s">
        <v>401</v>
      </c>
      <c r="B6" s="139">
        <v>-166.4</v>
      </c>
      <c r="C6" s="140">
        <v>76.209999999999994</v>
      </c>
      <c r="D6" s="137">
        <f t="shared" si="0"/>
        <v>-90.190000000000012</v>
      </c>
      <c r="E6" s="14"/>
      <c r="F6" s="103"/>
      <c r="G6" s="14"/>
    </row>
    <row r="7" spans="1:7" s="15" customFormat="1" x14ac:dyDescent="0.25">
      <c r="A7" s="138" t="s">
        <v>402</v>
      </c>
      <c r="B7" s="139">
        <v>355.53</v>
      </c>
      <c r="C7" s="140">
        <v>1.8</v>
      </c>
      <c r="D7" s="137">
        <f t="shared" si="0"/>
        <v>357.33</v>
      </c>
      <c r="E7" s="14"/>
      <c r="F7" s="103"/>
      <c r="G7" s="14"/>
    </row>
    <row r="8" spans="1:7" s="15" customFormat="1" x14ac:dyDescent="0.25">
      <c r="A8" s="138" t="s">
        <v>403</v>
      </c>
      <c r="B8" s="139">
        <v>3524.7</v>
      </c>
      <c r="C8" s="140">
        <v>19.88</v>
      </c>
      <c r="D8" s="137">
        <f t="shared" si="0"/>
        <v>3544.58</v>
      </c>
      <c r="E8" s="14"/>
      <c r="F8" s="103"/>
      <c r="G8" s="14"/>
    </row>
    <row r="9" spans="1:7" s="15" customFormat="1" x14ac:dyDescent="0.25">
      <c r="A9" s="138" t="s">
        <v>404</v>
      </c>
      <c r="B9" s="139">
        <v>28.69</v>
      </c>
      <c r="C9" s="140">
        <v>0</v>
      </c>
      <c r="D9" s="137">
        <f t="shared" si="0"/>
        <v>28.69</v>
      </c>
      <c r="E9" s="14"/>
      <c r="F9" s="103"/>
      <c r="G9" s="14"/>
    </row>
    <row r="10" spans="1:7" s="15" customFormat="1" x14ac:dyDescent="0.25">
      <c r="A10" s="138" t="s">
        <v>405</v>
      </c>
      <c r="B10" s="139">
        <v>-763.32</v>
      </c>
      <c r="C10" s="140">
        <v>-297.43</v>
      </c>
      <c r="D10" s="137">
        <f t="shared" si="0"/>
        <v>-1060.75</v>
      </c>
      <c r="E10" s="14"/>
      <c r="F10" s="103"/>
      <c r="G10" s="14"/>
    </row>
    <row r="11" spans="1:7" s="15" customFormat="1" x14ac:dyDescent="0.25">
      <c r="A11" s="138" t="s">
        <v>406</v>
      </c>
      <c r="B11" s="139">
        <v>0</v>
      </c>
      <c r="C11" s="140">
        <v>62.59</v>
      </c>
      <c r="D11" s="137">
        <f t="shared" si="0"/>
        <v>62.59</v>
      </c>
      <c r="E11" s="14"/>
      <c r="F11" s="103"/>
      <c r="G11" s="14"/>
    </row>
    <row r="12" spans="1:7" s="15" customFormat="1" x14ac:dyDescent="0.25">
      <c r="A12" s="138" t="s">
        <v>407</v>
      </c>
      <c r="B12" s="139">
        <f>-1787.55-B18</f>
        <v>-391.71000000000004</v>
      </c>
      <c r="C12" s="140">
        <v>0</v>
      </c>
      <c r="D12" s="137">
        <f t="shared" si="0"/>
        <v>-391.71000000000004</v>
      </c>
      <c r="E12" s="14"/>
      <c r="F12" s="141"/>
      <c r="G12" s="14"/>
    </row>
    <row r="13" spans="1:7" s="15" customFormat="1" x14ac:dyDescent="0.25">
      <c r="A13" s="138" t="s">
        <v>408</v>
      </c>
      <c r="B13" s="139">
        <v>546.25</v>
      </c>
      <c r="C13" s="140">
        <v>0</v>
      </c>
      <c r="D13" s="137">
        <f t="shared" si="0"/>
        <v>546.25</v>
      </c>
      <c r="E13" s="14"/>
      <c r="F13" s="141"/>
      <c r="G13" s="14"/>
    </row>
    <row r="14" spans="1:7" s="15" customFormat="1" x14ac:dyDescent="0.25">
      <c r="A14" s="138" t="s">
        <v>409</v>
      </c>
      <c r="B14" s="139">
        <v>-444.76</v>
      </c>
      <c r="C14" s="140">
        <v>289.07</v>
      </c>
      <c r="D14" s="137">
        <f t="shared" si="0"/>
        <v>-155.69</v>
      </c>
      <c r="E14" s="14"/>
      <c r="F14" s="141"/>
      <c r="G14" s="14"/>
    </row>
    <row r="15" spans="1:7" s="15" customFormat="1" x14ac:dyDescent="0.25">
      <c r="A15" s="138" t="s">
        <v>410</v>
      </c>
      <c r="B15" s="139">
        <v>18.670000000000002</v>
      </c>
      <c r="C15" s="140">
        <v>5.28</v>
      </c>
      <c r="D15" s="137">
        <f t="shared" si="0"/>
        <v>23.950000000000003</v>
      </c>
      <c r="E15" s="14"/>
      <c r="F15" s="14"/>
      <c r="G15" s="14"/>
    </row>
    <row r="16" spans="1:7" s="15" customFormat="1" ht="12.75" customHeight="1" thickBot="1" x14ac:dyDescent="0.3">
      <c r="A16" s="142" t="s">
        <v>411</v>
      </c>
      <c r="B16" s="143">
        <v>0</v>
      </c>
      <c r="C16" s="144">
        <v>0</v>
      </c>
      <c r="D16" s="137">
        <f t="shared" si="0"/>
        <v>0</v>
      </c>
      <c r="E16" s="14"/>
      <c r="F16" s="14"/>
      <c r="G16" s="14"/>
    </row>
    <row r="17" spans="1:7" s="15" customFormat="1" ht="18.75" customHeight="1" thickBot="1" x14ac:dyDescent="0.3">
      <c r="A17" s="145" t="s">
        <v>412</v>
      </c>
      <c r="B17" s="146">
        <f>SUM(B4:B16)</f>
        <v>12092.580000000002</v>
      </c>
      <c r="C17" s="146">
        <f>SUM(C4:C16)-0.005</f>
        <v>172.52499999999998</v>
      </c>
      <c r="D17" s="147">
        <f>SUM(D4:D16)</f>
        <v>12265.109999999999</v>
      </c>
      <c r="E17" s="103"/>
      <c r="F17" s="14"/>
      <c r="G17" s="14"/>
    </row>
    <row r="18" spans="1:7" s="15" customFormat="1" ht="18.75" customHeight="1" thickBot="1" x14ac:dyDescent="0.3">
      <c r="A18" s="145" t="s">
        <v>413</v>
      </c>
      <c r="B18" s="146">
        <v>-1395.84</v>
      </c>
      <c r="C18" s="146">
        <v>0</v>
      </c>
      <c r="D18" s="147">
        <f>SUM(B18:C18)</f>
        <v>-1395.84</v>
      </c>
      <c r="E18" s="103"/>
      <c r="F18" s="14"/>
      <c r="G18" s="14"/>
    </row>
    <row r="19" spans="1:7" s="15" customFormat="1" ht="18.75" customHeight="1" thickBot="1" x14ac:dyDescent="0.3">
      <c r="A19" s="145" t="s">
        <v>414</v>
      </c>
      <c r="B19" s="146">
        <f>B17+B18</f>
        <v>10696.740000000002</v>
      </c>
      <c r="C19" s="146">
        <f>C17-C18</f>
        <v>172.52499999999998</v>
      </c>
      <c r="D19" s="147">
        <f>SUM(B19:C19)</f>
        <v>10869.265000000001</v>
      </c>
      <c r="E19" s="103"/>
      <c r="F19" s="14"/>
      <c r="G19" s="14"/>
    </row>
    <row r="20" spans="1:7" x14ac:dyDescent="0.25">
      <c r="A20" s="34"/>
      <c r="B20" s="9"/>
      <c r="C20" s="9"/>
      <c r="D20" s="9"/>
      <c r="E20" s="9"/>
      <c r="F20" s="9"/>
      <c r="G20" s="9"/>
    </row>
    <row r="21" spans="1:7" x14ac:dyDescent="0.25">
      <c r="A21" s="9" t="s">
        <v>657</v>
      </c>
      <c r="B21" s="22"/>
      <c r="C21" s="22"/>
      <c r="D21" s="22"/>
      <c r="E21" s="9"/>
      <c r="F21" s="9"/>
      <c r="G21" s="9"/>
    </row>
    <row r="22" spans="1:7" x14ac:dyDescent="0.25">
      <c r="A22" s="1187" t="s">
        <v>789</v>
      </c>
      <c r="B22" s="1187"/>
      <c r="C22" s="1187"/>
      <c r="D22" s="1187"/>
      <c r="E22" s="9"/>
      <c r="F22" s="9"/>
      <c r="G22" s="9"/>
    </row>
    <row r="23" spans="1:7" x14ac:dyDescent="0.25">
      <c r="A23" s="9"/>
      <c r="B23" s="9"/>
      <c r="C23" s="9"/>
      <c r="D23" s="9"/>
      <c r="E23" s="9"/>
      <c r="F23" s="9"/>
      <c r="G23" s="9"/>
    </row>
    <row r="24" spans="1:7" x14ac:dyDescent="0.25">
      <c r="A24" s="9"/>
      <c r="B24" s="9"/>
      <c r="C24" s="9"/>
      <c r="D24" s="9"/>
      <c r="E24" s="33"/>
      <c r="F24" s="9"/>
      <c r="G24" s="9"/>
    </row>
    <row r="25" spans="1:7" x14ac:dyDescent="0.25">
      <c r="A25" s="9"/>
      <c r="B25" s="9"/>
      <c r="C25" s="9"/>
      <c r="D25" s="9"/>
      <c r="E25" s="9"/>
      <c r="F25" s="9"/>
      <c r="G25" s="9"/>
    </row>
    <row r="26" spans="1:7" x14ac:dyDescent="0.25">
      <c r="A26" s="9"/>
      <c r="B26" s="9"/>
      <c r="C26" s="9"/>
      <c r="D26" s="9"/>
      <c r="E26" s="9"/>
      <c r="F26" s="9"/>
      <c r="G26" s="9"/>
    </row>
    <row r="27" spans="1:7" x14ac:dyDescent="0.25">
      <c r="A27" s="9"/>
      <c r="B27" s="9"/>
      <c r="C27" s="9"/>
      <c r="D27" s="9"/>
      <c r="E27" s="9"/>
      <c r="F27" s="9"/>
      <c r="G27" s="9"/>
    </row>
    <row r="28" spans="1:7" x14ac:dyDescent="0.25">
      <c r="A28" s="9"/>
      <c r="B28" s="9"/>
      <c r="C28" s="9"/>
      <c r="D28" s="9"/>
      <c r="E28" s="9"/>
      <c r="F28" s="9"/>
      <c r="G28" s="9"/>
    </row>
    <row r="29" spans="1:7" x14ac:dyDescent="0.25">
      <c r="A29" s="9"/>
      <c r="B29" s="9"/>
      <c r="C29" s="9"/>
      <c r="D29" s="9"/>
      <c r="E29" s="9"/>
      <c r="F29" s="9"/>
      <c r="G29" s="9"/>
    </row>
    <row r="30" spans="1:7" x14ac:dyDescent="0.25">
      <c r="A30" s="9"/>
      <c r="B30" s="9"/>
      <c r="C30" s="9"/>
      <c r="D30" s="9"/>
      <c r="E30" s="9"/>
      <c r="F30" s="9"/>
      <c r="G30" s="9"/>
    </row>
    <row r="31" spans="1:7" x14ac:dyDescent="0.25">
      <c r="A31" s="9"/>
      <c r="B31" s="9"/>
      <c r="C31" s="9"/>
      <c r="D31" s="9"/>
      <c r="E31" s="9"/>
      <c r="F31" s="9"/>
      <c r="G31" s="9"/>
    </row>
    <row r="32" spans="1:7" x14ac:dyDescent="0.25">
      <c r="A32" s="9"/>
      <c r="B32" s="9"/>
      <c r="C32" s="9"/>
      <c r="D32" s="9"/>
      <c r="E32" s="9"/>
      <c r="F32" s="9"/>
      <c r="G32" s="9"/>
    </row>
    <row r="33" spans="1:7" x14ac:dyDescent="0.25">
      <c r="A33" s="9"/>
      <c r="B33" s="9"/>
      <c r="C33" s="9"/>
      <c r="D33" s="9"/>
      <c r="E33" s="9"/>
      <c r="F33" s="9"/>
      <c r="G33" s="9"/>
    </row>
    <row r="34" spans="1:7" x14ac:dyDescent="0.25">
      <c r="A34" s="9"/>
      <c r="B34" s="9"/>
      <c r="C34" s="9"/>
      <c r="D34" s="9"/>
      <c r="E34" s="9"/>
      <c r="F34" s="9"/>
      <c r="G34" s="9"/>
    </row>
  </sheetData>
  <sheetProtection formatRows="0" insertRows="0" deleteRows="0"/>
  <customSheetViews>
    <customSheetView guid="{2AF6EA2A-E5C5-45EB-B6C4-875AD1E4E056}">
      <pageMargins left="0.78740157480314965" right="0.78740157480314965"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1">
    <mergeCell ref="A22:D22"/>
  </mergeCells>
  <phoneticPr fontId="40" type="noConversion"/>
  <printOptions horizontalCentered="1"/>
  <pageMargins left="0.78740157480314965" right="0.78740157480314965" top="0.98425196850393704" bottom="0.98425196850393704" header="0.51181102362204722" footer="0.51181102362204722"/>
  <pageSetup paperSize="9" orientation="landscape" cellComments="asDisplayed" horizontalDpi="300" verticalDpi="300"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
  <sheetViews>
    <sheetView zoomScaleNormal="100" workbookViewId="0">
      <selection activeCell="C114" sqref="C114"/>
    </sheetView>
  </sheetViews>
  <sheetFormatPr defaultRowHeight="15" x14ac:dyDescent="0.25"/>
  <cols>
    <col min="1" max="1" width="46.5703125" style="55" customWidth="1"/>
    <col min="2" max="2" width="4.42578125" style="55" customWidth="1"/>
    <col min="3" max="3" width="14.140625" style="55" customWidth="1"/>
    <col min="4" max="4" width="13.42578125" style="55" customWidth="1"/>
    <col min="5" max="5" width="12.85546875" style="55" customWidth="1"/>
    <col min="6" max="6" width="13.5703125" style="55" customWidth="1"/>
    <col min="7" max="16384" width="9.140625" style="55"/>
  </cols>
  <sheetData>
    <row r="1" spans="1:6" ht="15.75" x14ac:dyDescent="0.25">
      <c r="A1" s="957" t="s">
        <v>898</v>
      </c>
    </row>
    <row r="2" spans="1:6" ht="15.75" thickBot="1" x14ac:dyDescent="0.3">
      <c r="F2" s="112" t="s">
        <v>517</v>
      </c>
    </row>
    <row r="3" spans="1:6" s="113" customFormat="1" ht="24" customHeight="1" thickBot="1" x14ac:dyDescent="0.3">
      <c r="A3" s="956" t="s">
        <v>1007</v>
      </c>
      <c r="B3" s="955" t="s">
        <v>497</v>
      </c>
      <c r="C3" s="954" t="s">
        <v>1008</v>
      </c>
      <c r="D3" s="954" t="s">
        <v>1009</v>
      </c>
      <c r="E3" s="954" t="s">
        <v>1010</v>
      </c>
      <c r="F3" s="954" t="s">
        <v>1011</v>
      </c>
    </row>
    <row r="4" spans="1:6" ht="12.75" customHeight="1" thickBot="1" x14ac:dyDescent="0.3">
      <c r="A4" s="941" t="s">
        <v>1012</v>
      </c>
      <c r="B4" s="950" t="s">
        <v>1013</v>
      </c>
      <c r="C4" s="949">
        <v>0</v>
      </c>
      <c r="D4" s="949">
        <v>10869.27</v>
      </c>
      <c r="E4" s="949">
        <f t="shared" ref="E4:E35" si="0">SUM(D4-C4)</f>
        <v>10869.27</v>
      </c>
      <c r="F4" s="949">
        <v>10869.27</v>
      </c>
    </row>
    <row r="5" spans="1:6" ht="12.75" customHeight="1" x14ac:dyDescent="0.25">
      <c r="A5" s="948" t="s">
        <v>1014</v>
      </c>
      <c r="B5" s="937" t="s">
        <v>1015</v>
      </c>
      <c r="C5" s="936">
        <v>0</v>
      </c>
      <c r="D5" s="936">
        <v>0</v>
      </c>
      <c r="E5" s="936">
        <f t="shared" si="0"/>
        <v>0</v>
      </c>
      <c r="F5" s="936">
        <v>67955.19</v>
      </c>
    </row>
    <row r="6" spans="1:6" ht="12.75" customHeight="1" x14ac:dyDescent="0.25">
      <c r="A6" s="947" t="s">
        <v>1016</v>
      </c>
      <c r="B6" s="946" t="s">
        <v>1017</v>
      </c>
      <c r="C6" s="945">
        <v>0</v>
      </c>
      <c r="D6" s="945">
        <v>0</v>
      </c>
      <c r="E6" s="936">
        <f t="shared" si="0"/>
        <v>0</v>
      </c>
      <c r="F6" s="945">
        <v>0</v>
      </c>
    </row>
    <row r="7" spans="1:6" ht="12.75" customHeight="1" x14ac:dyDescent="0.25">
      <c r="A7" s="947" t="s">
        <v>1018</v>
      </c>
      <c r="B7" s="946" t="s">
        <v>1019</v>
      </c>
      <c r="C7" s="945">
        <v>18160.48</v>
      </c>
      <c r="D7" s="945">
        <v>15957.52</v>
      </c>
      <c r="E7" s="945">
        <f t="shared" si="0"/>
        <v>-2202.9599999999991</v>
      </c>
      <c r="F7" s="945">
        <v>-2202.96</v>
      </c>
    </row>
    <row r="8" spans="1:6" ht="12.75" customHeight="1" x14ac:dyDescent="0.25">
      <c r="A8" s="947" t="s">
        <v>1020</v>
      </c>
      <c r="B8" s="946" t="s">
        <v>1021</v>
      </c>
      <c r="C8" s="945">
        <v>818.36</v>
      </c>
      <c r="D8" s="945">
        <v>814.84</v>
      </c>
      <c r="E8" s="945">
        <f t="shared" si="0"/>
        <v>-3.5199999999999818</v>
      </c>
      <c r="F8" s="945">
        <v>-3.52</v>
      </c>
    </row>
    <row r="9" spans="1:6" ht="12.75" customHeight="1" x14ac:dyDescent="0.25">
      <c r="A9" s="947" t="s">
        <v>1022</v>
      </c>
      <c r="B9" s="946" t="s">
        <v>1023</v>
      </c>
      <c r="C9" s="945">
        <v>16441.990000000002</v>
      </c>
      <c r="D9" s="945">
        <v>14413.62</v>
      </c>
      <c r="E9" s="945">
        <f t="shared" si="0"/>
        <v>-2028.3700000000008</v>
      </c>
      <c r="F9" s="945">
        <v>-2028.37</v>
      </c>
    </row>
    <row r="10" spans="1:6" ht="12.75" customHeight="1" x14ac:dyDescent="0.25">
      <c r="A10" s="947" t="s">
        <v>1024</v>
      </c>
      <c r="B10" s="946" t="s">
        <v>1025</v>
      </c>
      <c r="C10" s="945">
        <v>52.32</v>
      </c>
      <c r="D10" s="945">
        <v>0.11</v>
      </c>
      <c r="E10" s="945">
        <f t="shared" si="0"/>
        <v>-52.21</v>
      </c>
      <c r="F10" s="945">
        <v>-52.21</v>
      </c>
    </row>
    <row r="11" spans="1:6" ht="12.75" customHeight="1" x14ac:dyDescent="0.25">
      <c r="A11" s="947" t="s">
        <v>1026</v>
      </c>
      <c r="B11" s="946" t="s">
        <v>1027</v>
      </c>
      <c r="C11" s="945">
        <v>847.81</v>
      </c>
      <c r="D11" s="945">
        <v>728.95</v>
      </c>
      <c r="E11" s="945">
        <f t="shared" si="0"/>
        <v>-118.8599999999999</v>
      </c>
      <c r="F11" s="945">
        <v>-118.86</v>
      </c>
    </row>
    <row r="12" spans="1:6" ht="12.75" customHeight="1" x14ac:dyDescent="0.25">
      <c r="A12" s="947" t="s">
        <v>1028</v>
      </c>
      <c r="B12" s="946" t="s">
        <v>1029</v>
      </c>
      <c r="C12" s="945">
        <v>7090.22</v>
      </c>
      <c r="D12" s="945">
        <v>5859.81</v>
      </c>
      <c r="E12" s="945">
        <f t="shared" si="0"/>
        <v>-1230.4099999999999</v>
      </c>
      <c r="F12" s="945">
        <v>1230.4100000000001</v>
      </c>
    </row>
    <row r="13" spans="1:6" ht="12.75" customHeight="1" x14ac:dyDescent="0.25">
      <c r="A13" s="947" t="s">
        <v>1030</v>
      </c>
      <c r="B13" s="946" t="s">
        <v>1031</v>
      </c>
      <c r="C13" s="945">
        <v>5392.15</v>
      </c>
      <c r="D13" s="945">
        <v>5617.6</v>
      </c>
      <c r="E13" s="945">
        <f t="shared" si="0"/>
        <v>225.45000000000073</v>
      </c>
      <c r="F13" s="945">
        <v>-225.45</v>
      </c>
    </row>
    <row r="14" spans="1:6" ht="12.75" customHeight="1" x14ac:dyDescent="0.25">
      <c r="A14" s="947" t="s">
        <v>1032</v>
      </c>
      <c r="B14" s="946" t="s">
        <v>1033</v>
      </c>
      <c r="C14" s="945">
        <v>47.98</v>
      </c>
      <c r="D14" s="945">
        <v>240.65</v>
      </c>
      <c r="E14" s="945">
        <f t="shared" si="0"/>
        <v>192.67000000000002</v>
      </c>
      <c r="F14" s="945">
        <v>-192.67</v>
      </c>
    </row>
    <row r="15" spans="1:6" ht="12.75" customHeight="1" x14ac:dyDescent="0.25">
      <c r="A15" s="947" t="s">
        <v>1034</v>
      </c>
      <c r="B15" s="946" t="s">
        <v>10</v>
      </c>
      <c r="C15" s="945">
        <v>0.11</v>
      </c>
      <c r="D15" s="945">
        <v>1.56</v>
      </c>
      <c r="E15" s="945">
        <f t="shared" si="0"/>
        <v>1.45</v>
      </c>
      <c r="F15" s="945">
        <v>-1.45</v>
      </c>
    </row>
    <row r="16" spans="1:6" ht="12.75" customHeight="1" x14ac:dyDescent="0.25">
      <c r="A16" s="947" t="s">
        <v>1035</v>
      </c>
      <c r="B16" s="946" t="s">
        <v>13</v>
      </c>
      <c r="C16" s="945">
        <v>1649.98</v>
      </c>
      <c r="D16" s="945">
        <v>0</v>
      </c>
      <c r="E16" s="945">
        <f t="shared" si="0"/>
        <v>-1649.98</v>
      </c>
      <c r="F16" s="945">
        <v>1649.98</v>
      </c>
    </row>
    <row r="17" spans="1:6" ht="12.75" customHeight="1" x14ac:dyDescent="0.25">
      <c r="A17" s="947" t="s">
        <v>1036</v>
      </c>
      <c r="B17" s="946" t="s">
        <v>16</v>
      </c>
      <c r="C17" s="945">
        <v>13270.83</v>
      </c>
      <c r="D17" s="945">
        <v>12448.16</v>
      </c>
      <c r="E17" s="945">
        <f t="shared" si="0"/>
        <v>-822.67000000000007</v>
      </c>
      <c r="F17" s="945">
        <v>822.67</v>
      </c>
    </row>
    <row r="18" spans="1:6" ht="12.75" customHeight="1" x14ac:dyDescent="0.25">
      <c r="A18" s="947" t="s">
        <v>1049</v>
      </c>
      <c r="B18" s="946" t="s">
        <v>1050</v>
      </c>
      <c r="C18" s="945">
        <v>10872.47</v>
      </c>
      <c r="D18" s="945">
        <v>9519.5300000000007</v>
      </c>
      <c r="E18" s="945">
        <f t="shared" si="0"/>
        <v>-1352.9399999999987</v>
      </c>
      <c r="F18" s="945">
        <v>1352.94</v>
      </c>
    </row>
    <row r="19" spans="1:6" ht="12.75" customHeight="1" x14ac:dyDescent="0.25">
      <c r="A19" s="947" t="s">
        <v>1054</v>
      </c>
      <c r="B19" s="946" t="s">
        <v>1055</v>
      </c>
      <c r="C19" s="945">
        <v>0</v>
      </c>
      <c r="D19" s="945">
        <v>0</v>
      </c>
      <c r="E19" s="945">
        <f t="shared" si="0"/>
        <v>0</v>
      </c>
      <c r="F19" s="945">
        <v>0</v>
      </c>
    </row>
    <row r="20" spans="1:6" ht="12.75" customHeight="1" x14ac:dyDescent="0.25">
      <c r="A20" s="947" t="s">
        <v>1056</v>
      </c>
      <c r="B20" s="946" t="s">
        <v>1057</v>
      </c>
      <c r="C20" s="945">
        <v>0</v>
      </c>
      <c r="D20" s="945">
        <v>0</v>
      </c>
      <c r="E20" s="945">
        <f t="shared" si="0"/>
        <v>0</v>
      </c>
      <c r="F20" s="945">
        <v>0</v>
      </c>
    </row>
    <row r="21" spans="1:6" ht="12.75" customHeight="1" x14ac:dyDescent="0.25">
      <c r="A21" s="947" t="s">
        <v>1058</v>
      </c>
      <c r="B21" s="946" t="s">
        <v>19</v>
      </c>
      <c r="C21" s="945">
        <v>862.39</v>
      </c>
      <c r="D21" s="945">
        <v>0</v>
      </c>
      <c r="E21" s="945">
        <f t="shared" si="0"/>
        <v>-862.39</v>
      </c>
      <c r="F21" s="945">
        <v>862.39</v>
      </c>
    </row>
    <row r="22" spans="1:6" ht="12.75" customHeight="1" x14ac:dyDescent="0.25">
      <c r="A22" s="947" t="s">
        <v>1059</v>
      </c>
      <c r="B22" s="946" t="s">
        <v>22</v>
      </c>
      <c r="C22" s="945">
        <v>0</v>
      </c>
      <c r="D22" s="945">
        <v>0</v>
      </c>
      <c r="E22" s="945">
        <f t="shared" si="0"/>
        <v>0</v>
      </c>
      <c r="F22" s="945">
        <v>0</v>
      </c>
    </row>
    <row r="23" spans="1:6" ht="12.75" customHeight="1" x14ac:dyDescent="0.25">
      <c r="A23" s="947" t="s">
        <v>1060</v>
      </c>
      <c r="B23" s="946" t="s">
        <v>1061</v>
      </c>
      <c r="C23" s="945">
        <v>0</v>
      </c>
      <c r="D23" s="945">
        <v>0</v>
      </c>
      <c r="E23" s="945">
        <f t="shared" si="0"/>
        <v>0</v>
      </c>
      <c r="F23" s="945">
        <v>0</v>
      </c>
    </row>
    <row r="24" spans="1:6" ht="12.75" customHeight="1" x14ac:dyDescent="0.25">
      <c r="A24" s="947" t="s">
        <v>1062</v>
      </c>
      <c r="B24" s="946" t="s">
        <v>40</v>
      </c>
      <c r="C24" s="945">
        <v>0</v>
      </c>
      <c r="D24" s="945">
        <v>0</v>
      </c>
      <c r="E24" s="945">
        <f t="shared" si="0"/>
        <v>0</v>
      </c>
      <c r="F24" s="945">
        <v>0</v>
      </c>
    </row>
    <row r="25" spans="1:6" ht="12.75" customHeight="1" x14ac:dyDescent="0.25">
      <c r="A25" s="947" t="s">
        <v>1063</v>
      </c>
      <c r="B25" s="946" t="s">
        <v>43</v>
      </c>
      <c r="C25" s="945">
        <v>0</v>
      </c>
      <c r="D25" s="945">
        <v>0</v>
      </c>
      <c r="E25" s="945">
        <f t="shared" si="0"/>
        <v>0</v>
      </c>
      <c r="F25" s="945">
        <v>0</v>
      </c>
    </row>
    <row r="26" spans="1:6" ht="12.75" customHeight="1" x14ac:dyDescent="0.25">
      <c r="A26" s="947" t="s">
        <v>1064</v>
      </c>
      <c r="B26" s="946" t="s">
        <v>1065</v>
      </c>
      <c r="C26" s="945">
        <v>467.24</v>
      </c>
      <c r="D26" s="945">
        <v>1588.71</v>
      </c>
      <c r="E26" s="945">
        <f t="shared" si="0"/>
        <v>1121.47</v>
      </c>
      <c r="F26" s="945">
        <v>-1121.47</v>
      </c>
    </row>
    <row r="27" spans="1:6" ht="12.75" customHeight="1" x14ac:dyDescent="0.25">
      <c r="A27" s="947" t="s">
        <v>1066</v>
      </c>
      <c r="B27" s="946" t="s">
        <v>1067</v>
      </c>
      <c r="C27" s="945">
        <v>390.4</v>
      </c>
      <c r="D27" s="945">
        <v>378.25</v>
      </c>
      <c r="E27" s="945">
        <f t="shared" si="0"/>
        <v>-12.149999999999977</v>
      </c>
      <c r="F27" s="945">
        <v>12.15</v>
      </c>
    </row>
    <row r="28" spans="1:6" ht="12.75" customHeight="1" x14ac:dyDescent="0.25">
      <c r="A28" s="947" t="s">
        <v>1068</v>
      </c>
      <c r="B28" s="946" t="s">
        <v>46</v>
      </c>
      <c r="C28" s="945">
        <v>678.33</v>
      </c>
      <c r="D28" s="945">
        <v>961.67</v>
      </c>
      <c r="E28" s="945">
        <f t="shared" si="0"/>
        <v>283.33999999999992</v>
      </c>
      <c r="F28" s="945">
        <v>-283.33999999999997</v>
      </c>
    </row>
    <row r="29" spans="1:6" ht="12.75" customHeight="1" x14ac:dyDescent="0.25">
      <c r="A29" s="947" t="s">
        <v>1069</v>
      </c>
      <c r="B29" s="946" t="s">
        <v>49</v>
      </c>
      <c r="C29" s="945">
        <v>0</v>
      </c>
      <c r="D29" s="945">
        <v>0</v>
      </c>
      <c r="E29" s="945">
        <f t="shared" si="0"/>
        <v>0</v>
      </c>
      <c r="F29" s="945">
        <v>0</v>
      </c>
    </row>
    <row r="30" spans="1:6" ht="12.75" customHeight="1" x14ac:dyDescent="0.25">
      <c r="A30" s="947" t="s">
        <v>1070</v>
      </c>
      <c r="B30" s="946" t="s">
        <v>1071</v>
      </c>
      <c r="C30" s="945">
        <v>0.72</v>
      </c>
      <c r="D30" s="945">
        <v>0</v>
      </c>
      <c r="E30" s="945">
        <f t="shared" si="0"/>
        <v>-0.72</v>
      </c>
      <c r="F30" s="945">
        <v>0.72</v>
      </c>
    </row>
    <row r="31" spans="1:6" ht="12.75" customHeight="1" x14ac:dyDescent="0.25">
      <c r="A31" s="947" t="s">
        <v>1072</v>
      </c>
      <c r="B31" s="946" t="s">
        <v>52</v>
      </c>
      <c r="C31" s="945">
        <v>0</v>
      </c>
      <c r="D31" s="945">
        <v>0</v>
      </c>
      <c r="E31" s="945">
        <f t="shared" si="0"/>
        <v>0</v>
      </c>
      <c r="F31" s="945">
        <v>0</v>
      </c>
    </row>
    <row r="32" spans="1:6" ht="12.75" customHeight="1" x14ac:dyDescent="0.25">
      <c r="A32" s="947" t="s">
        <v>1073</v>
      </c>
      <c r="B32" s="946" t="s">
        <v>55</v>
      </c>
      <c r="C32" s="945">
        <v>0</v>
      </c>
      <c r="D32" s="945">
        <v>0</v>
      </c>
      <c r="E32" s="945">
        <f t="shared" si="0"/>
        <v>0</v>
      </c>
      <c r="F32" s="945">
        <v>0</v>
      </c>
    </row>
    <row r="33" spans="1:6" ht="12.75" customHeight="1" x14ac:dyDescent="0.25">
      <c r="A33" s="947" t="s">
        <v>1074</v>
      </c>
      <c r="B33" s="946" t="s">
        <v>1075</v>
      </c>
      <c r="C33" s="945">
        <v>0</v>
      </c>
      <c r="D33" s="945">
        <v>0</v>
      </c>
      <c r="E33" s="945">
        <f t="shared" si="0"/>
        <v>0</v>
      </c>
      <c r="F33" s="945">
        <v>0</v>
      </c>
    </row>
    <row r="34" spans="1:6" ht="12.75" customHeight="1" x14ac:dyDescent="0.25">
      <c r="A34" s="947" t="s">
        <v>1076</v>
      </c>
      <c r="B34" s="946" t="s">
        <v>34</v>
      </c>
      <c r="C34" s="945">
        <v>6125.37</v>
      </c>
      <c r="D34" s="945">
        <v>6586.94</v>
      </c>
      <c r="E34" s="945">
        <f t="shared" si="0"/>
        <v>461.56999999999971</v>
      </c>
      <c r="F34" s="945">
        <v>-461.57</v>
      </c>
    </row>
    <row r="35" spans="1:6" ht="12.75" customHeight="1" x14ac:dyDescent="0.25">
      <c r="A35" s="947" t="s">
        <v>1077</v>
      </c>
      <c r="B35" s="946" t="s">
        <v>37</v>
      </c>
      <c r="C35" s="945">
        <v>835.98</v>
      </c>
      <c r="D35" s="945">
        <v>977.13</v>
      </c>
      <c r="E35" s="945">
        <f t="shared" si="0"/>
        <v>141.14999999999998</v>
      </c>
      <c r="F35" s="945">
        <v>-141.15</v>
      </c>
    </row>
    <row r="36" spans="1:6" ht="12.75" customHeight="1" x14ac:dyDescent="0.25">
      <c r="A36" s="947" t="s">
        <v>1078</v>
      </c>
      <c r="B36" s="946" t="s">
        <v>1079</v>
      </c>
      <c r="C36" s="945">
        <v>0</v>
      </c>
      <c r="D36" s="945">
        <v>0</v>
      </c>
      <c r="E36" s="945">
        <f t="shared" ref="E36:E58" si="1">SUM(D36-C36)</f>
        <v>0</v>
      </c>
      <c r="F36" s="945">
        <v>0</v>
      </c>
    </row>
    <row r="37" spans="1:6" ht="12.75" customHeight="1" x14ac:dyDescent="0.25">
      <c r="A37" s="947" t="s">
        <v>1080</v>
      </c>
      <c r="B37" s="946" t="s">
        <v>1081</v>
      </c>
      <c r="C37" s="945">
        <v>5095.13</v>
      </c>
      <c r="D37" s="945">
        <v>5390.83</v>
      </c>
      <c r="E37" s="945">
        <f t="shared" si="1"/>
        <v>295.69999999999982</v>
      </c>
      <c r="F37" s="945">
        <v>-295.7</v>
      </c>
    </row>
    <row r="38" spans="1:6" ht="12.75" customHeight="1" x14ac:dyDescent="0.25">
      <c r="A38" s="947" t="s">
        <v>1082</v>
      </c>
      <c r="B38" s="946" t="s">
        <v>1083</v>
      </c>
      <c r="C38" s="945">
        <v>0</v>
      </c>
      <c r="D38" s="945">
        <v>0</v>
      </c>
      <c r="E38" s="945">
        <f t="shared" si="1"/>
        <v>0</v>
      </c>
      <c r="F38" s="945">
        <v>0</v>
      </c>
    </row>
    <row r="39" spans="1:6" ht="12.75" customHeight="1" x14ac:dyDescent="0.25">
      <c r="A39" s="947" t="s">
        <v>1084</v>
      </c>
      <c r="B39" s="946" t="s">
        <v>1085</v>
      </c>
      <c r="C39" s="945">
        <v>194.26</v>
      </c>
      <c r="D39" s="945">
        <v>218.98</v>
      </c>
      <c r="E39" s="945">
        <f t="shared" si="1"/>
        <v>24.72</v>
      </c>
      <c r="F39" s="945">
        <v>-24.72</v>
      </c>
    </row>
    <row r="40" spans="1:6" ht="12.75" customHeight="1" x14ac:dyDescent="0.25">
      <c r="A40" s="947" t="s">
        <v>1086</v>
      </c>
      <c r="B40" s="946" t="s">
        <v>1087</v>
      </c>
      <c r="C40" s="945">
        <v>0</v>
      </c>
      <c r="D40" s="945">
        <v>0</v>
      </c>
      <c r="E40" s="945">
        <f t="shared" si="1"/>
        <v>0</v>
      </c>
      <c r="F40" s="945">
        <v>0</v>
      </c>
    </row>
    <row r="41" spans="1:6" ht="12.75" customHeight="1" x14ac:dyDescent="0.25">
      <c r="A41" s="947" t="s">
        <v>1088</v>
      </c>
      <c r="B41" s="946" t="s">
        <v>1089</v>
      </c>
      <c r="C41" s="945">
        <v>85543.57</v>
      </c>
      <c r="D41" s="945">
        <v>59106.42</v>
      </c>
      <c r="E41" s="945">
        <f t="shared" si="1"/>
        <v>-26437.150000000009</v>
      </c>
      <c r="F41" s="945">
        <v>-26437.15</v>
      </c>
    </row>
    <row r="42" spans="1:6" ht="12.75" customHeight="1" x14ac:dyDescent="0.25">
      <c r="A42" s="947" t="s">
        <v>1090</v>
      </c>
      <c r="B42" s="946" t="s">
        <v>1091</v>
      </c>
      <c r="C42" s="945">
        <v>4131.5600000000004</v>
      </c>
      <c r="D42" s="945">
        <v>3607.06</v>
      </c>
      <c r="E42" s="945">
        <f t="shared" si="1"/>
        <v>-524.50000000000045</v>
      </c>
      <c r="F42" s="945">
        <v>-524.5</v>
      </c>
    </row>
    <row r="43" spans="1:6" ht="12.75" customHeight="1" x14ac:dyDescent="0.25">
      <c r="A43" s="947" t="s">
        <v>1092</v>
      </c>
      <c r="B43" s="946" t="s">
        <v>1093</v>
      </c>
      <c r="C43" s="945">
        <v>0</v>
      </c>
      <c r="D43" s="945">
        <v>0</v>
      </c>
      <c r="E43" s="945">
        <f t="shared" si="1"/>
        <v>0</v>
      </c>
      <c r="F43" s="945">
        <v>0</v>
      </c>
    </row>
    <row r="44" spans="1:6" ht="12.75" customHeight="1" x14ac:dyDescent="0.25">
      <c r="A44" s="947" t="s">
        <v>1094</v>
      </c>
      <c r="B44" s="946" t="s">
        <v>25</v>
      </c>
      <c r="C44" s="945">
        <v>3072.36</v>
      </c>
      <c r="D44" s="945">
        <v>2780.39</v>
      </c>
      <c r="E44" s="945">
        <f t="shared" si="1"/>
        <v>-291.97000000000025</v>
      </c>
      <c r="F44" s="945">
        <v>-291.97000000000003</v>
      </c>
    </row>
    <row r="45" spans="1:6" ht="12.75" customHeight="1" x14ac:dyDescent="0.25">
      <c r="A45" s="947" t="s">
        <v>1095</v>
      </c>
      <c r="B45" s="946" t="s">
        <v>58</v>
      </c>
      <c r="C45" s="945">
        <v>0.24</v>
      </c>
      <c r="D45" s="945">
        <v>0.6</v>
      </c>
      <c r="E45" s="945">
        <f t="shared" si="1"/>
        <v>0.36</v>
      </c>
      <c r="F45" s="945">
        <v>0.36</v>
      </c>
    </row>
    <row r="46" spans="1:6" ht="12.75" customHeight="1" x14ac:dyDescent="0.25">
      <c r="A46" s="947" t="s">
        <v>1096</v>
      </c>
      <c r="B46" s="946" t="s">
        <v>84</v>
      </c>
      <c r="C46" s="945">
        <v>31097.360000000001</v>
      </c>
      <c r="D46" s="945">
        <v>28016.98</v>
      </c>
      <c r="E46" s="945">
        <f t="shared" si="1"/>
        <v>-3080.380000000001</v>
      </c>
      <c r="F46" s="945">
        <v>-3080.38</v>
      </c>
    </row>
    <row r="47" spans="1:6" ht="12.75" customHeight="1" x14ac:dyDescent="0.25">
      <c r="A47" s="947" t="s">
        <v>1097</v>
      </c>
      <c r="B47" s="946" t="s">
        <v>1098</v>
      </c>
      <c r="C47" s="945">
        <v>448.74</v>
      </c>
      <c r="D47" s="945">
        <v>221.9</v>
      </c>
      <c r="E47" s="945">
        <f t="shared" si="1"/>
        <v>-226.84</v>
      </c>
      <c r="F47" s="945">
        <v>-226.84</v>
      </c>
    </row>
    <row r="48" spans="1:6" ht="12.75" customHeight="1" x14ac:dyDescent="0.25">
      <c r="A48" s="947" t="s">
        <v>1099</v>
      </c>
      <c r="B48" s="946" t="s">
        <v>1100</v>
      </c>
      <c r="C48" s="945">
        <v>16500.55</v>
      </c>
      <c r="D48" s="945">
        <v>15512.64</v>
      </c>
      <c r="E48" s="945">
        <f t="shared" si="1"/>
        <v>-987.90999999999985</v>
      </c>
      <c r="F48" s="945">
        <v>-987.91</v>
      </c>
    </row>
    <row r="49" spans="1:6" ht="12.75" customHeight="1" x14ac:dyDescent="0.25">
      <c r="A49" s="947" t="s">
        <v>1058</v>
      </c>
      <c r="B49" s="946" t="s">
        <v>1101</v>
      </c>
      <c r="C49" s="945">
        <v>0</v>
      </c>
      <c r="D49" s="945">
        <v>1095.6199999999999</v>
      </c>
      <c r="E49" s="945">
        <f t="shared" si="1"/>
        <v>1095.6199999999999</v>
      </c>
      <c r="F49" s="945">
        <v>1095.6199999999999</v>
      </c>
    </row>
    <row r="50" spans="1:6" ht="12.75" customHeight="1" x14ac:dyDescent="0.25">
      <c r="A50" s="947" t="s">
        <v>1102</v>
      </c>
      <c r="B50" s="946" t="s">
        <v>1103</v>
      </c>
      <c r="C50" s="945">
        <v>6356.88</v>
      </c>
      <c r="D50" s="945">
        <v>5851.5</v>
      </c>
      <c r="E50" s="945">
        <f t="shared" si="1"/>
        <v>-505.38000000000011</v>
      </c>
      <c r="F50" s="945">
        <v>-505.38</v>
      </c>
    </row>
    <row r="51" spans="1:6" ht="12.75" customHeight="1" x14ac:dyDescent="0.25">
      <c r="A51" s="947" t="s">
        <v>1060</v>
      </c>
      <c r="B51" s="946" t="s">
        <v>1104</v>
      </c>
      <c r="C51" s="945">
        <v>2061.17</v>
      </c>
      <c r="D51" s="945">
        <v>413.9</v>
      </c>
      <c r="E51" s="945">
        <f t="shared" si="1"/>
        <v>-1647.27</v>
      </c>
      <c r="F51" s="945">
        <v>-1647.27</v>
      </c>
    </row>
    <row r="52" spans="1:6" ht="12.75" customHeight="1" x14ac:dyDescent="0.25">
      <c r="A52" s="947" t="s">
        <v>1062</v>
      </c>
      <c r="B52" s="946" t="s">
        <v>1105</v>
      </c>
      <c r="C52" s="945">
        <v>4.67</v>
      </c>
      <c r="D52" s="945">
        <v>3.8</v>
      </c>
      <c r="E52" s="945">
        <f t="shared" si="1"/>
        <v>-0.87000000000000011</v>
      </c>
      <c r="F52" s="945">
        <v>-0.87</v>
      </c>
    </row>
    <row r="53" spans="1:6" ht="12.75" customHeight="1" x14ac:dyDescent="0.25">
      <c r="A53" s="947" t="s">
        <v>1106</v>
      </c>
      <c r="B53" s="946" t="s">
        <v>1107</v>
      </c>
      <c r="C53" s="945">
        <v>20401.900000000001</v>
      </c>
      <c r="D53" s="945">
        <v>54.56</v>
      </c>
      <c r="E53" s="945">
        <f t="shared" si="1"/>
        <v>-20347.34</v>
      </c>
      <c r="F53" s="945">
        <v>-20347.34</v>
      </c>
    </row>
    <row r="54" spans="1:6" ht="12.75" customHeight="1" x14ac:dyDescent="0.25">
      <c r="A54" s="947" t="s">
        <v>1108</v>
      </c>
      <c r="B54" s="946" t="s">
        <v>28</v>
      </c>
      <c r="C54" s="945">
        <v>0</v>
      </c>
      <c r="D54" s="945">
        <v>0</v>
      </c>
      <c r="E54" s="945">
        <f t="shared" si="1"/>
        <v>0</v>
      </c>
      <c r="F54" s="945">
        <v>0</v>
      </c>
    </row>
    <row r="55" spans="1:6" ht="12.75" customHeight="1" x14ac:dyDescent="0.25">
      <c r="A55" s="947" t="s">
        <v>1054</v>
      </c>
      <c r="B55" s="946" t="s">
        <v>61</v>
      </c>
      <c r="C55" s="945">
        <v>0</v>
      </c>
      <c r="D55" s="945">
        <v>0</v>
      </c>
      <c r="E55" s="945">
        <f t="shared" si="1"/>
        <v>0</v>
      </c>
      <c r="F55" s="945">
        <v>0</v>
      </c>
    </row>
    <row r="56" spans="1:6" ht="12.75" customHeight="1" x14ac:dyDescent="0.25">
      <c r="A56" s="947" t="s">
        <v>1109</v>
      </c>
      <c r="B56" s="946" t="s">
        <v>1110</v>
      </c>
      <c r="C56" s="945">
        <v>1468.14</v>
      </c>
      <c r="D56" s="945">
        <v>1547.47</v>
      </c>
      <c r="E56" s="945">
        <f t="shared" si="1"/>
        <v>79.329999999999927</v>
      </c>
      <c r="F56" s="945">
        <v>79.33</v>
      </c>
    </row>
    <row r="57" spans="1:6" ht="12.75" customHeight="1" x14ac:dyDescent="0.25">
      <c r="A57" s="947" t="s">
        <v>1111</v>
      </c>
      <c r="B57" s="946" t="s">
        <v>1112</v>
      </c>
      <c r="C57" s="945">
        <v>0</v>
      </c>
      <c r="D57" s="945">
        <v>0</v>
      </c>
      <c r="E57" s="945">
        <f t="shared" si="1"/>
        <v>0</v>
      </c>
      <c r="F57" s="945">
        <v>0</v>
      </c>
    </row>
    <row r="58" spans="1:6" ht="12.75" customHeight="1" thickBot="1" x14ac:dyDescent="0.3">
      <c r="A58" s="953" t="s">
        <v>1113</v>
      </c>
      <c r="B58" s="952" t="s">
        <v>1114</v>
      </c>
      <c r="C58" s="951">
        <v>0</v>
      </c>
      <c r="D58" s="951">
        <v>0</v>
      </c>
      <c r="E58" s="951">
        <f t="shared" si="1"/>
        <v>0</v>
      </c>
      <c r="F58" s="951">
        <v>0</v>
      </c>
    </row>
    <row r="59" spans="1:6" ht="12.75" customHeight="1" thickBot="1" x14ac:dyDescent="0.3">
      <c r="A59" s="941" t="s">
        <v>1115</v>
      </c>
      <c r="B59" s="950" t="s">
        <v>1116</v>
      </c>
      <c r="C59" s="949">
        <v>130191.19</v>
      </c>
      <c r="D59" s="949">
        <v>110828.12</v>
      </c>
      <c r="E59" s="949">
        <v>-19363.070000000007</v>
      </c>
      <c r="F59" s="949">
        <v>51776.58</v>
      </c>
    </row>
    <row r="60" spans="1:6" ht="12.75" customHeight="1" x14ac:dyDescent="0.25">
      <c r="A60" s="1188"/>
      <c r="B60" s="1189"/>
      <c r="C60" s="1189"/>
      <c r="D60" s="1189"/>
      <c r="E60" s="1189"/>
      <c r="F60" s="1190"/>
    </row>
    <row r="61" spans="1:6" ht="12.75" customHeight="1" x14ac:dyDescent="0.25">
      <c r="A61" s="948" t="s">
        <v>1117</v>
      </c>
      <c r="B61" s="937" t="s">
        <v>1118</v>
      </c>
      <c r="C61" s="936">
        <v>36894.18</v>
      </c>
      <c r="D61" s="936">
        <v>38471.01</v>
      </c>
      <c r="E61" s="936">
        <f t="shared" ref="E61:E100" si="2">SUM(D61-C61)</f>
        <v>1576.8300000000017</v>
      </c>
      <c r="F61" s="936">
        <v>-1576.83</v>
      </c>
    </row>
    <row r="62" spans="1:6" ht="12.75" customHeight="1" x14ac:dyDescent="0.25">
      <c r="A62" s="947" t="s">
        <v>1119</v>
      </c>
      <c r="B62" s="946" t="s">
        <v>1120</v>
      </c>
      <c r="C62" s="945">
        <v>0</v>
      </c>
      <c r="D62" s="945">
        <v>0</v>
      </c>
      <c r="E62" s="945">
        <f t="shared" si="2"/>
        <v>0</v>
      </c>
      <c r="F62" s="945">
        <v>0</v>
      </c>
    </row>
    <row r="63" spans="1:6" ht="12.75" customHeight="1" x14ac:dyDescent="0.25">
      <c r="A63" s="947" t="s">
        <v>1121</v>
      </c>
      <c r="B63" s="946" t="s">
        <v>1122</v>
      </c>
      <c r="C63" s="945">
        <v>33339.9</v>
      </c>
      <c r="D63" s="945">
        <v>34941.730000000003</v>
      </c>
      <c r="E63" s="945">
        <f t="shared" si="2"/>
        <v>1601.8300000000017</v>
      </c>
      <c r="F63" s="945">
        <v>-1601.83</v>
      </c>
    </row>
    <row r="64" spans="1:6" ht="12.75" customHeight="1" x14ac:dyDescent="0.25">
      <c r="A64" s="947" t="s">
        <v>1123</v>
      </c>
      <c r="B64" s="946" t="s">
        <v>1124</v>
      </c>
      <c r="C64" s="945">
        <v>0</v>
      </c>
      <c r="D64" s="945">
        <v>0</v>
      </c>
      <c r="E64" s="945">
        <f t="shared" si="2"/>
        <v>0</v>
      </c>
      <c r="F64" s="945">
        <v>0</v>
      </c>
    </row>
    <row r="65" spans="1:6" ht="12.75" customHeight="1" x14ac:dyDescent="0.25">
      <c r="A65" s="947" t="s">
        <v>1125</v>
      </c>
      <c r="B65" s="946" t="s">
        <v>67</v>
      </c>
      <c r="C65" s="945">
        <v>323.16000000000003</v>
      </c>
      <c r="D65" s="945">
        <v>323.16000000000003</v>
      </c>
      <c r="E65" s="945">
        <f t="shared" si="2"/>
        <v>0</v>
      </c>
      <c r="F65" s="945">
        <v>0</v>
      </c>
    </row>
    <row r="66" spans="1:6" ht="12.75" customHeight="1" x14ac:dyDescent="0.25">
      <c r="A66" s="947" t="s">
        <v>1126</v>
      </c>
      <c r="B66" s="946" t="s">
        <v>70</v>
      </c>
      <c r="C66" s="945">
        <v>3206.12</v>
      </c>
      <c r="D66" s="945">
        <v>3206.12</v>
      </c>
      <c r="E66" s="945">
        <f t="shared" si="2"/>
        <v>0</v>
      </c>
      <c r="F66" s="945">
        <v>0</v>
      </c>
    </row>
    <row r="67" spans="1:6" ht="12.75" customHeight="1" x14ac:dyDescent="0.25">
      <c r="A67" s="947" t="s">
        <v>1127</v>
      </c>
      <c r="B67" s="946" t="s">
        <v>73</v>
      </c>
      <c r="C67" s="945">
        <v>0</v>
      </c>
      <c r="D67" s="945">
        <v>0</v>
      </c>
      <c r="E67" s="945">
        <f t="shared" si="2"/>
        <v>0</v>
      </c>
      <c r="F67" s="945">
        <v>0</v>
      </c>
    </row>
    <row r="68" spans="1:6" ht="12.75" customHeight="1" x14ac:dyDescent="0.25">
      <c r="A68" s="947" t="s">
        <v>1128</v>
      </c>
      <c r="B68" s="946" t="s">
        <v>1129</v>
      </c>
      <c r="C68" s="945">
        <v>25</v>
      </c>
      <c r="D68" s="945">
        <v>0</v>
      </c>
      <c r="E68" s="945">
        <f t="shared" si="2"/>
        <v>-25</v>
      </c>
      <c r="F68" s="945">
        <v>25</v>
      </c>
    </row>
    <row r="69" spans="1:6" ht="12.75" customHeight="1" x14ac:dyDescent="0.25">
      <c r="A69" s="947" t="s">
        <v>1130</v>
      </c>
      <c r="B69" s="946" t="s">
        <v>1131</v>
      </c>
      <c r="C69" s="945">
        <v>-34949.69</v>
      </c>
      <c r="D69" s="945">
        <v>-35729.29</v>
      </c>
      <c r="E69" s="945">
        <f t="shared" si="2"/>
        <v>-779.59999999999854</v>
      </c>
      <c r="F69" s="945">
        <v>779.6</v>
      </c>
    </row>
    <row r="70" spans="1:6" ht="12.75" customHeight="1" x14ac:dyDescent="0.25">
      <c r="A70" s="947" t="s">
        <v>1132</v>
      </c>
      <c r="B70" s="946" t="s">
        <v>76</v>
      </c>
      <c r="C70" s="945">
        <v>0</v>
      </c>
      <c r="D70" s="945">
        <v>0</v>
      </c>
      <c r="E70" s="945">
        <f t="shared" si="2"/>
        <v>0</v>
      </c>
      <c r="F70" s="945">
        <v>0</v>
      </c>
    </row>
    <row r="71" spans="1:6" ht="12.75" customHeight="1" x14ac:dyDescent="0.25">
      <c r="A71" s="947" t="s">
        <v>1133</v>
      </c>
      <c r="B71" s="946" t="s">
        <v>79</v>
      </c>
      <c r="C71" s="945">
        <v>-31932.18</v>
      </c>
      <c r="D71" s="945">
        <v>-32323.9</v>
      </c>
      <c r="E71" s="945">
        <f t="shared" si="2"/>
        <v>-391.72000000000116</v>
      </c>
      <c r="F71" s="945">
        <v>391.72</v>
      </c>
    </row>
    <row r="72" spans="1:6" ht="12.75" customHeight="1" x14ac:dyDescent="0.25">
      <c r="A72" s="947" t="s">
        <v>1134</v>
      </c>
      <c r="B72" s="946" t="s">
        <v>1135</v>
      </c>
      <c r="C72" s="945">
        <v>0</v>
      </c>
      <c r="D72" s="945">
        <v>0</v>
      </c>
      <c r="E72" s="945">
        <f t="shared" si="2"/>
        <v>0</v>
      </c>
      <c r="F72" s="945">
        <v>0</v>
      </c>
    </row>
    <row r="73" spans="1:6" ht="12.75" customHeight="1" x14ac:dyDescent="0.25">
      <c r="A73" s="947" t="s">
        <v>1136</v>
      </c>
      <c r="B73" s="946" t="s">
        <v>82</v>
      </c>
      <c r="C73" s="945">
        <v>-323.16000000000003</v>
      </c>
      <c r="D73" s="945">
        <v>-323.16000000000003</v>
      </c>
      <c r="E73" s="945">
        <f t="shared" si="2"/>
        <v>0</v>
      </c>
      <c r="F73" s="945">
        <v>0</v>
      </c>
    </row>
    <row r="74" spans="1:6" ht="12.75" customHeight="1" x14ac:dyDescent="0.25">
      <c r="A74" s="947" t="s">
        <v>1137</v>
      </c>
      <c r="B74" s="946" t="s">
        <v>1138</v>
      </c>
      <c r="C74" s="945">
        <v>-2694.35</v>
      </c>
      <c r="D74" s="945">
        <v>-3082.23</v>
      </c>
      <c r="E74" s="945">
        <f t="shared" si="2"/>
        <v>-387.88000000000011</v>
      </c>
      <c r="F74" s="945">
        <v>387.88</v>
      </c>
    </row>
    <row r="75" spans="1:6" ht="12.75" customHeight="1" x14ac:dyDescent="0.25">
      <c r="A75" s="947" t="s">
        <v>1139</v>
      </c>
      <c r="B75" s="946" t="s">
        <v>1140</v>
      </c>
      <c r="C75" s="945">
        <v>2047985.78</v>
      </c>
      <c r="D75" s="945">
        <v>2094729.8</v>
      </c>
      <c r="E75" s="945">
        <f t="shared" si="2"/>
        <v>46744.020000000019</v>
      </c>
      <c r="F75" s="945">
        <v>-46744.02</v>
      </c>
    </row>
    <row r="76" spans="1:6" ht="12.75" customHeight="1" x14ac:dyDescent="0.25">
      <c r="A76" s="947" t="s">
        <v>1141</v>
      </c>
      <c r="B76" s="946" t="s">
        <v>90</v>
      </c>
      <c r="C76" s="945">
        <v>64902.58</v>
      </c>
      <c r="D76" s="945">
        <v>64902.58</v>
      </c>
      <c r="E76" s="945">
        <f t="shared" si="2"/>
        <v>0</v>
      </c>
      <c r="F76" s="945">
        <v>0</v>
      </c>
    </row>
    <row r="77" spans="1:6" ht="12.75" customHeight="1" x14ac:dyDescent="0.25">
      <c r="A77" s="947" t="s">
        <v>1142</v>
      </c>
      <c r="B77" s="946" t="s">
        <v>93</v>
      </c>
      <c r="C77" s="945">
        <v>2320.14</v>
      </c>
      <c r="D77" s="945">
        <v>2320.14</v>
      </c>
      <c r="E77" s="945">
        <f t="shared" si="2"/>
        <v>0</v>
      </c>
      <c r="F77" s="945">
        <v>0</v>
      </c>
    </row>
    <row r="78" spans="1:6" ht="12.75" customHeight="1" x14ac:dyDescent="0.25">
      <c r="A78" s="947" t="s">
        <v>1143</v>
      </c>
      <c r="B78" s="946" t="s">
        <v>96</v>
      </c>
      <c r="C78" s="945">
        <v>1555466.35</v>
      </c>
      <c r="D78" s="945">
        <v>1574165.91</v>
      </c>
      <c r="E78" s="945">
        <f t="shared" si="2"/>
        <v>18699.559999999823</v>
      </c>
      <c r="F78" s="945">
        <v>-18699.560000000001</v>
      </c>
    </row>
    <row r="79" spans="1:6" ht="12.75" customHeight="1" x14ac:dyDescent="0.25">
      <c r="A79" s="947" t="s">
        <v>1144</v>
      </c>
      <c r="B79" s="946" t="s">
        <v>1145</v>
      </c>
      <c r="C79" s="945">
        <v>350044.66</v>
      </c>
      <c r="D79" s="945">
        <v>348183.21</v>
      </c>
      <c r="E79" s="945">
        <f t="shared" si="2"/>
        <v>-1861.4499999999534</v>
      </c>
      <c r="F79" s="945">
        <v>1861.45</v>
      </c>
    </row>
    <row r="80" spans="1:6" ht="12.75" customHeight="1" x14ac:dyDescent="0.25">
      <c r="A80" s="947" t="s">
        <v>1146</v>
      </c>
      <c r="B80" s="946" t="s">
        <v>1147</v>
      </c>
      <c r="C80" s="945">
        <v>0</v>
      </c>
      <c r="D80" s="945">
        <v>0</v>
      </c>
      <c r="E80" s="945">
        <f t="shared" si="2"/>
        <v>0</v>
      </c>
      <c r="F80" s="945">
        <v>0</v>
      </c>
    </row>
    <row r="81" spans="1:6" ht="12.75" customHeight="1" x14ac:dyDescent="0.25">
      <c r="A81" s="947" t="s">
        <v>1148</v>
      </c>
      <c r="B81" s="946" t="s">
        <v>1149</v>
      </c>
      <c r="C81" s="945">
        <v>0</v>
      </c>
      <c r="D81" s="945">
        <v>0</v>
      </c>
      <c r="E81" s="945">
        <f t="shared" si="2"/>
        <v>0</v>
      </c>
      <c r="F81" s="945">
        <v>0</v>
      </c>
    </row>
    <row r="82" spans="1:6" ht="12.75" customHeight="1" x14ac:dyDescent="0.25">
      <c r="A82" s="947" t="s">
        <v>1150</v>
      </c>
      <c r="B82" s="946" t="s">
        <v>99</v>
      </c>
      <c r="C82" s="945">
        <v>53319.86</v>
      </c>
      <c r="D82" s="945">
        <v>49250.66</v>
      </c>
      <c r="E82" s="945">
        <f t="shared" si="2"/>
        <v>-4069.1999999999971</v>
      </c>
      <c r="F82" s="945">
        <v>4069.2</v>
      </c>
    </row>
    <row r="83" spans="1:6" ht="12.75" customHeight="1" x14ac:dyDescent="0.25">
      <c r="A83" s="947" t="s">
        <v>1151</v>
      </c>
      <c r="B83" s="946" t="s">
        <v>102</v>
      </c>
      <c r="C83" s="945">
        <v>0</v>
      </c>
      <c r="D83" s="945">
        <v>0</v>
      </c>
      <c r="E83" s="945">
        <f t="shared" si="2"/>
        <v>0</v>
      </c>
      <c r="F83" s="945">
        <v>0</v>
      </c>
    </row>
    <row r="84" spans="1:6" ht="12.75" customHeight="1" x14ac:dyDescent="0.25">
      <c r="A84" s="947" t="s">
        <v>1152</v>
      </c>
      <c r="B84" s="946" t="s">
        <v>1153</v>
      </c>
      <c r="C84" s="945">
        <v>21185.62</v>
      </c>
      <c r="D84" s="945">
        <v>55160.73</v>
      </c>
      <c r="E84" s="945">
        <f t="shared" si="2"/>
        <v>33975.11</v>
      </c>
      <c r="F84" s="945">
        <v>-33975.11</v>
      </c>
    </row>
    <row r="85" spans="1:6" ht="12.75" customHeight="1" x14ac:dyDescent="0.25">
      <c r="A85" s="947" t="s">
        <v>1154</v>
      </c>
      <c r="B85" s="946" t="s">
        <v>105</v>
      </c>
      <c r="C85" s="945">
        <v>746.57</v>
      </c>
      <c r="D85" s="945">
        <v>746.57</v>
      </c>
      <c r="E85" s="945">
        <f t="shared" si="2"/>
        <v>0</v>
      </c>
      <c r="F85" s="945">
        <v>0</v>
      </c>
    </row>
    <row r="86" spans="1:6" ht="12.75" customHeight="1" x14ac:dyDescent="0.25">
      <c r="A86" s="947" t="s">
        <v>1130</v>
      </c>
      <c r="B86" s="946" t="s">
        <v>108</v>
      </c>
      <c r="C86" s="945">
        <v>-507543.57</v>
      </c>
      <c r="D86" s="945">
        <v>-553517.17000000004</v>
      </c>
      <c r="E86" s="945">
        <f t="shared" si="2"/>
        <v>-45973.600000000035</v>
      </c>
      <c r="F86" s="945">
        <v>45973.599999999999</v>
      </c>
    </row>
    <row r="87" spans="1:6" ht="12.75" customHeight="1" x14ac:dyDescent="0.25">
      <c r="A87" s="947" t="s">
        <v>1155</v>
      </c>
      <c r="B87" s="946" t="s">
        <v>1156</v>
      </c>
      <c r="C87" s="945">
        <v>-224614.88</v>
      </c>
      <c r="D87" s="945">
        <v>-256633.75</v>
      </c>
      <c r="E87" s="945">
        <f t="shared" si="2"/>
        <v>-32018.869999999995</v>
      </c>
      <c r="F87" s="945">
        <v>32018.87</v>
      </c>
    </row>
    <row r="88" spans="1:6" ht="12.75" customHeight="1" x14ac:dyDescent="0.25">
      <c r="A88" s="947" t="s">
        <v>1157</v>
      </c>
      <c r="B88" s="946" t="s">
        <v>1158</v>
      </c>
      <c r="C88" s="945">
        <v>-229806.44</v>
      </c>
      <c r="D88" s="945">
        <v>-247830.37</v>
      </c>
      <c r="E88" s="945">
        <f t="shared" si="2"/>
        <v>-18023.929999999993</v>
      </c>
      <c r="F88" s="945">
        <v>18023.93</v>
      </c>
    </row>
    <row r="89" spans="1:6" ht="12.75" customHeight="1" x14ac:dyDescent="0.25">
      <c r="A89" s="947" t="s">
        <v>1159</v>
      </c>
      <c r="B89" s="946" t="s">
        <v>111</v>
      </c>
      <c r="C89" s="945">
        <v>0</v>
      </c>
      <c r="D89" s="945">
        <v>0</v>
      </c>
      <c r="E89" s="945">
        <f t="shared" si="2"/>
        <v>0</v>
      </c>
      <c r="F89" s="945">
        <v>0</v>
      </c>
    </row>
    <row r="90" spans="1:6" ht="12.75" customHeight="1" x14ac:dyDescent="0.25">
      <c r="A90" s="947" t="s">
        <v>1160</v>
      </c>
      <c r="B90" s="946" t="s">
        <v>114</v>
      </c>
      <c r="C90" s="945">
        <v>0</v>
      </c>
      <c r="D90" s="945">
        <v>0</v>
      </c>
      <c r="E90" s="945">
        <f t="shared" si="2"/>
        <v>0</v>
      </c>
      <c r="F90" s="945">
        <v>0</v>
      </c>
    </row>
    <row r="91" spans="1:6" ht="12.75" customHeight="1" x14ac:dyDescent="0.25">
      <c r="A91" s="947" t="s">
        <v>1161</v>
      </c>
      <c r="B91" s="946" t="s">
        <v>1162</v>
      </c>
      <c r="C91" s="945">
        <v>-53122.25</v>
      </c>
      <c r="D91" s="945">
        <v>-49053.05</v>
      </c>
      <c r="E91" s="945">
        <f t="shared" si="2"/>
        <v>4069.1999999999971</v>
      </c>
      <c r="F91" s="945">
        <v>-4069.2</v>
      </c>
    </row>
    <row r="92" spans="1:6" ht="12.75" customHeight="1" x14ac:dyDescent="0.25">
      <c r="A92" s="947" t="s">
        <v>1163</v>
      </c>
      <c r="B92" s="946" t="s">
        <v>116</v>
      </c>
      <c r="C92" s="945">
        <v>0</v>
      </c>
      <c r="D92" s="945">
        <v>0</v>
      </c>
      <c r="E92" s="945">
        <f t="shared" si="2"/>
        <v>0</v>
      </c>
      <c r="F92" s="945">
        <v>0</v>
      </c>
    </row>
    <row r="93" spans="1:6" ht="12.75" customHeight="1" x14ac:dyDescent="0.25">
      <c r="A93" s="947" t="s">
        <v>1164</v>
      </c>
      <c r="B93" s="946" t="s">
        <v>118</v>
      </c>
      <c r="C93" s="945">
        <v>0</v>
      </c>
      <c r="D93" s="945">
        <v>0</v>
      </c>
      <c r="E93" s="945">
        <f t="shared" si="2"/>
        <v>0</v>
      </c>
      <c r="F93" s="945">
        <v>-67955.19</v>
      </c>
    </row>
    <row r="94" spans="1:6" ht="12.75" customHeight="1" x14ac:dyDescent="0.25">
      <c r="A94" s="947" t="s">
        <v>1165</v>
      </c>
      <c r="B94" s="946" t="s">
        <v>1166</v>
      </c>
      <c r="C94" s="945">
        <v>580.92999999999995</v>
      </c>
      <c r="D94" s="945">
        <v>580.92999999999995</v>
      </c>
      <c r="E94" s="945">
        <f t="shared" si="2"/>
        <v>0</v>
      </c>
      <c r="F94" s="945">
        <v>0</v>
      </c>
    </row>
    <row r="95" spans="1:6" ht="12.75" customHeight="1" x14ac:dyDescent="0.25">
      <c r="A95" s="947" t="s">
        <v>1167</v>
      </c>
      <c r="B95" s="946" t="s">
        <v>1168</v>
      </c>
      <c r="C95" s="945">
        <v>0</v>
      </c>
      <c r="D95" s="945">
        <v>0</v>
      </c>
      <c r="E95" s="945">
        <f t="shared" si="2"/>
        <v>0</v>
      </c>
      <c r="F95" s="945">
        <v>0</v>
      </c>
    </row>
    <row r="96" spans="1:6" ht="12.75" customHeight="1" x14ac:dyDescent="0.25">
      <c r="A96" s="947" t="s">
        <v>1169</v>
      </c>
      <c r="B96" s="946" t="s">
        <v>1170</v>
      </c>
      <c r="C96" s="945">
        <v>0</v>
      </c>
      <c r="D96" s="945">
        <v>0</v>
      </c>
      <c r="E96" s="945">
        <f t="shared" si="2"/>
        <v>0</v>
      </c>
      <c r="F96" s="945">
        <v>0</v>
      </c>
    </row>
    <row r="97" spans="1:6" ht="12.75" customHeight="1" x14ac:dyDescent="0.25">
      <c r="A97" s="947" t="s">
        <v>1171</v>
      </c>
      <c r="B97" s="946" t="s">
        <v>1172</v>
      </c>
      <c r="C97" s="945">
        <v>0</v>
      </c>
      <c r="D97" s="945">
        <v>0</v>
      </c>
      <c r="E97" s="945">
        <f t="shared" si="2"/>
        <v>0</v>
      </c>
      <c r="F97" s="945">
        <v>0</v>
      </c>
    </row>
    <row r="98" spans="1:6" ht="12.75" customHeight="1" x14ac:dyDescent="0.25">
      <c r="A98" s="947" t="s">
        <v>1173</v>
      </c>
      <c r="B98" s="946" t="s">
        <v>1174</v>
      </c>
      <c r="C98" s="945">
        <v>0</v>
      </c>
      <c r="D98" s="945">
        <v>0</v>
      </c>
      <c r="E98" s="945">
        <f t="shared" si="2"/>
        <v>0</v>
      </c>
      <c r="F98" s="945">
        <v>0</v>
      </c>
    </row>
    <row r="99" spans="1:6" ht="12.75" customHeight="1" thickBot="1" x14ac:dyDescent="0.3">
      <c r="A99" s="944" t="s">
        <v>1175</v>
      </c>
      <c r="B99" s="943" t="s">
        <v>1176</v>
      </c>
      <c r="C99" s="942">
        <v>580.92999999999995</v>
      </c>
      <c r="D99" s="942">
        <v>580.92999999999995</v>
      </c>
      <c r="E99" s="942">
        <f t="shared" si="2"/>
        <v>0</v>
      </c>
      <c r="F99" s="942">
        <v>0</v>
      </c>
    </row>
    <row r="100" spans="1:6" ht="12.75" customHeight="1" thickBot="1" x14ac:dyDescent="0.3">
      <c r="A100" s="941" t="s">
        <v>1177</v>
      </c>
      <c r="B100" s="940" t="s">
        <v>1178</v>
      </c>
      <c r="C100" s="939">
        <v>1542967.63</v>
      </c>
      <c r="D100" s="939">
        <v>1544535.28</v>
      </c>
      <c r="E100" s="939">
        <f t="shared" si="2"/>
        <v>1567.6500000001397</v>
      </c>
      <c r="F100" s="939">
        <v>-69522.84</v>
      </c>
    </row>
    <row r="101" spans="1:6" ht="12.75" customHeight="1" x14ac:dyDescent="0.25">
      <c r="A101" s="1191"/>
      <c r="B101" s="1192"/>
      <c r="C101" s="1192"/>
      <c r="D101" s="1192"/>
      <c r="E101" s="1192"/>
      <c r="F101" s="1193"/>
    </row>
    <row r="102" spans="1:6" ht="12.75" customHeight="1" x14ac:dyDescent="0.25">
      <c r="A102" s="948" t="s">
        <v>1179</v>
      </c>
      <c r="B102" s="937" t="s">
        <v>1180</v>
      </c>
      <c r="C102" s="936">
        <v>0</v>
      </c>
      <c r="D102" s="936">
        <v>0</v>
      </c>
      <c r="E102" s="936">
        <f t="shared" ref="E102:E115" si="3">SUM(D102-C102)</f>
        <v>0</v>
      </c>
      <c r="F102" s="936">
        <v>0</v>
      </c>
    </row>
    <row r="103" spans="1:6" ht="12.75" customHeight="1" x14ac:dyDescent="0.25">
      <c r="A103" s="947" t="s">
        <v>1181</v>
      </c>
      <c r="B103" s="946" t="s">
        <v>1182</v>
      </c>
      <c r="C103" s="945">
        <v>0</v>
      </c>
      <c r="D103" s="945">
        <v>0</v>
      </c>
      <c r="E103" s="945">
        <f t="shared" si="3"/>
        <v>0</v>
      </c>
      <c r="F103" s="945">
        <v>0</v>
      </c>
    </row>
    <row r="104" spans="1:6" ht="12.75" customHeight="1" x14ac:dyDescent="0.25">
      <c r="A104" s="947" t="s">
        <v>1183</v>
      </c>
      <c r="B104" s="946" t="s">
        <v>1184</v>
      </c>
      <c r="C104" s="945">
        <v>0</v>
      </c>
      <c r="D104" s="945">
        <v>0</v>
      </c>
      <c r="E104" s="945">
        <f t="shared" si="3"/>
        <v>0</v>
      </c>
      <c r="F104" s="945">
        <v>0</v>
      </c>
    </row>
    <row r="105" spans="1:6" ht="12.75" customHeight="1" x14ac:dyDescent="0.25">
      <c r="A105" s="947" t="s">
        <v>1185</v>
      </c>
      <c r="B105" s="946">
        <v>100</v>
      </c>
      <c r="C105" s="945">
        <v>0</v>
      </c>
      <c r="D105" s="945">
        <v>0</v>
      </c>
      <c r="E105" s="945">
        <f t="shared" si="3"/>
        <v>0</v>
      </c>
      <c r="F105" s="945">
        <v>0</v>
      </c>
    </row>
    <row r="106" spans="1:6" ht="12.75" customHeight="1" x14ac:dyDescent="0.25">
      <c r="A106" s="947" t="s">
        <v>1186</v>
      </c>
      <c r="B106" s="946">
        <v>101</v>
      </c>
      <c r="C106" s="945">
        <v>0</v>
      </c>
      <c r="D106" s="945">
        <v>0</v>
      </c>
      <c r="E106" s="945">
        <f t="shared" si="3"/>
        <v>0</v>
      </c>
      <c r="F106" s="945">
        <v>0</v>
      </c>
    </row>
    <row r="107" spans="1:6" ht="12.75" customHeight="1" x14ac:dyDescent="0.25">
      <c r="A107" s="947" t="s">
        <v>1187</v>
      </c>
      <c r="B107" s="946">
        <v>102</v>
      </c>
      <c r="C107" s="945">
        <v>0</v>
      </c>
      <c r="D107" s="945">
        <v>0</v>
      </c>
      <c r="E107" s="945">
        <f t="shared" si="3"/>
        <v>0</v>
      </c>
      <c r="F107" s="945">
        <v>0</v>
      </c>
    </row>
    <row r="108" spans="1:6" ht="12.75" customHeight="1" x14ac:dyDescent="0.25">
      <c r="A108" s="947" t="s">
        <v>1188</v>
      </c>
      <c r="B108" s="946">
        <v>103</v>
      </c>
      <c r="C108" s="945">
        <v>0</v>
      </c>
      <c r="D108" s="945">
        <v>0</v>
      </c>
      <c r="E108" s="945">
        <f t="shared" si="3"/>
        <v>0</v>
      </c>
      <c r="F108" s="945">
        <v>0</v>
      </c>
    </row>
    <row r="109" spans="1:6" ht="12.75" customHeight="1" x14ac:dyDescent="0.25">
      <c r="A109" s="947" t="s">
        <v>1189</v>
      </c>
      <c r="B109" s="946">
        <v>104</v>
      </c>
      <c r="C109" s="945">
        <v>1542196.06</v>
      </c>
      <c r="D109" s="945">
        <v>1543788.72</v>
      </c>
      <c r="E109" s="945">
        <f t="shared" si="3"/>
        <v>1592.6599999999162</v>
      </c>
      <c r="F109" s="945">
        <v>1592.66</v>
      </c>
    </row>
    <row r="110" spans="1:6" ht="12.75" customHeight="1" x14ac:dyDescent="0.25">
      <c r="A110" s="947" t="s">
        <v>1190</v>
      </c>
      <c r="B110" s="946">
        <v>105</v>
      </c>
      <c r="C110" s="945">
        <v>186424.62</v>
      </c>
      <c r="D110" s="945">
        <v>242130.73</v>
      </c>
      <c r="E110" s="945">
        <f t="shared" si="3"/>
        <v>55706.110000000015</v>
      </c>
      <c r="F110" s="945">
        <v>55706.11</v>
      </c>
    </row>
    <row r="111" spans="1:6" ht="12.75" customHeight="1" x14ac:dyDescent="0.25">
      <c r="A111" s="947" t="s">
        <v>1191</v>
      </c>
      <c r="B111" s="946">
        <v>106</v>
      </c>
      <c r="C111" s="945">
        <v>0</v>
      </c>
      <c r="D111" s="945">
        <v>0</v>
      </c>
      <c r="E111" s="945">
        <f t="shared" si="3"/>
        <v>0</v>
      </c>
      <c r="F111" s="945">
        <v>0</v>
      </c>
    </row>
    <row r="112" spans="1:6" ht="12.75" customHeight="1" x14ac:dyDescent="0.25">
      <c r="A112" s="947" t="s">
        <v>1192</v>
      </c>
      <c r="B112" s="946">
        <v>107</v>
      </c>
      <c r="C112" s="945">
        <v>0</v>
      </c>
      <c r="D112" s="945">
        <v>0</v>
      </c>
      <c r="E112" s="945">
        <f t="shared" si="3"/>
        <v>0</v>
      </c>
      <c r="F112" s="945">
        <v>0</v>
      </c>
    </row>
    <row r="113" spans="1:6" ht="12.75" customHeight="1" x14ac:dyDescent="0.25">
      <c r="A113" s="947" t="s">
        <v>1193</v>
      </c>
      <c r="B113" s="946">
        <v>108</v>
      </c>
      <c r="C113" s="945">
        <v>6489.17</v>
      </c>
      <c r="D113" s="945">
        <v>10869.27</v>
      </c>
      <c r="E113" s="945">
        <f t="shared" si="3"/>
        <v>4380.1000000000004</v>
      </c>
      <c r="F113" s="945">
        <v>4380.1000000000004</v>
      </c>
    </row>
    <row r="114" spans="1:6" ht="12.75" customHeight="1" thickBot="1" x14ac:dyDescent="0.3">
      <c r="A114" s="944" t="s">
        <v>1194</v>
      </c>
      <c r="B114" s="943">
        <v>109</v>
      </c>
      <c r="C114" s="942">
        <v>0</v>
      </c>
      <c r="D114" s="942">
        <v>0</v>
      </c>
      <c r="E114" s="942">
        <f t="shared" si="3"/>
        <v>0</v>
      </c>
      <c r="F114" s="942">
        <v>0</v>
      </c>
    </row>
    <row r="115" spans="1:6" ht="12.75" customHeight="1" thickBot="1" x14ac:dyDescent="0.3">
      <c r="A115" s="941" t="s">
        <v>1195</v>
      </c>
      <c r="B115" s="940">
        <v>110</v>
      </c>
      <c r="C115" s="939">
        <v>1735109.85</v>
      </c>
      <c r="D115" s="939">
        <v>1785919.45</v>
      </c>
      <c r="E115" s="939">
        <f t="shared" si="3"/>
        <v>50809.59999999986</v>
      </c>
      <c r="F115" s="939">
        <v>50809.599999999999</v>
      </c>
    </row>
    <row r="116" spans="1:6" ht="12.75" customHeight="1" x14ac:dyDescent="0.25">
      <c r="A116" s="1191"/>
      <c r="B116" s="1192"/>
      <c r="C116" s="1192"/>
      <c r="D116" s="1192"/>
      <c r="E116" s="1192"/>
      <c r="F116" s="1193"/>
    </row>
    <row r="117" spans="1:6" ht="12.75" customHeight="1" x14ac:dyDescent="0.25">
      <c r="A117" s="938" t="s">
        <v>1196</v>
      </c>
      <c r="B117" s="937">
        <v>111</v>
      </c>
      <c r="C117" s="936">
        <v>3408268.67</v>
      </c>
      <c r="D117" s="936">
        <v>3441282.85</v>
      </c>
      <c r="E117" s="936">
        <f>SUM(D117-C117)</f>
        <v>33014.180000000168</v>
      </c>
      <c r="F117" s="936">
        <v>33063.339999999997</v>
      </c>
    </row>
    <row r="118" spans="1:6" ht="12.75" customHeight="1" thickBot="1" x14ac:dyDescent="0.3">
      <c r="A118" s="935" t="s">
        <v>1197</v>
      </c>
      <c r="B118" s="934">
        <v>112</v>
      </c>
      <c r="C118" s="933">
        <v>269359.13</v>
      </c>
      <c r="D118" s="933">
        <v>302422.46999999997</v>
      </c>
      <c r="E118" s="933">
        <f>SUM(D118-C118)</f>
        <v>33063.339999999967</v>
      </c>
      <c r="F118" s="933">
        <v>-33063.339999999997</v>
      </c>
    </row>
  </sheetData>
  <mergeCells count="3">
    <mergeCell ref="A60:F60"/>
    <mergeCell ref="A101:F101"/>
    <mergeCell ref="A116:F116"/>
  </mergeCells>
  <pageMargins left="0.70866141732283472" right="0.70866141732283472" top="0.78740157480314965" bottom="0.78740157480314965" header="0.31496062992125984" footer="0.31496062992125984"/>
  <pageSetup paperSize="9" scale="8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9"/>
  <sheetViews>
    <sheetView zoomScale="96" zoomScaleNormal="96" workbookViewId="0"/>
  </sheetViews>
  <sheetFormatPr defaultRowHeight="12.75" x14ac:dyDescent="0.25"/>
  <cols>
    <col min="1" max="1" width="1.42578125" style="15" customWidth="1"/>
    <col min="2" max="2" width="4.42578125" style="15" customWidth="1"/>
    <col min="3" max="3" width="3.140625" style="15" customWidth="1"/>
    <col min="4" max="5" width="6.140625" style="15" customWidth="1"/>
    <col min="6" max="6" width="43.5703125" style="15" customWidth="1"/>
    <col min="7" max="7" width="5.28515625" style="16" customWidth="1"/>
    <col min="8" max="13" width="11.5703125" style="15" customWidth="1"/>
    <col min="14" max="16384" width="9.140625" style="15"/>
  </cols>
  <sheetData>
    <row r="1" spans="1:15" ht="22.5" customHeight="1" x14ac:dyDescent="0.25">
      <c r="A1" s="148" t="s">
        <v>1351</v>
      </c>
      <c r="B1" s="149"/>
      <c r="C1" s="149"/>
      <c r="D1" s="149"/>
      <c r="E1" s="149"/>
      <c r="F1" s="150"/>
      <c r="G1" s="151"/>
      <c r="H1" s="149"/>
      <c r="I1" s="149"/>
      <c r="J1" s="149"/>
      <c r="K1" s="149"/>
      <c r="L1" s="149"/>
      <c r="M1" s="859" t="s">
        <v>1235</v>
      </c>
    </row>
    <row r="2" spans="1:15" ht="16.5" thickBot="1" x14ac:dyDescent="0.3">
      <c r="A2" s="148"/>
      <c r="B2" s="149"/>
      <c r="C2" s="149"/>
      <c r="D2" s="149"/>
      <c r="E2" s="149"/>
      <c r="F2" s="150"/>
      <c r="G2" s="151"/>
      <c r="H2" s="149"/>
      <c r="I2" s="149"/>
      <c r="J2" s="149"/>
      <c r="K2" s="149"/>
      <c r="L2" s="149"/>
      <c r="M2" s="149"/>
    </row>
    <row r="3" spans="1:15" ht="14.25" customHeight="1" x14ac:dyDescent="0.25">
      <c r="A3" s="1201" t="s">
        <v>824</v>
      </c>
      <c r="B3" s="1202"/>
      <c r="C3" s="1202"/>
      <c r="D3" s="1202"/>
      <c r="E3" s="1202"/>
      <c r="F3" s="1203"/>
      <c r="G3" s="1210" t="s">
        <v>497</v>
      </c>
      <c r="H3" s="1194" t="s">
        <v>825</v>
      </c>
      <c r="I3" s="1213"/>
      <c r="J3" s="1194" t="s">
        <v>826</v>
      </c>
      <c r="K3" s="1213"/>
      <c r="L3" s="1194" t="s">
        <v>827</v>
      </c>
      <c r="M3" s="1195"/>
    </row>
    <row r="4" spans="1:15" ht="13.5" customHeight="1" x14ac:dyDescent="0.25">
      <c r="A4" s="1204"/>
      <c r="B4" s="1205"/>
      <c r="C4" s="1205"/>
      <c r="D4" s="1205"/>
      <c r="E4" s="1205"/>
      <c r="F4" s="1206"/>
      <c r="G4" s="1211"/>
      <c r="H4" s="152" t="s">
        <v>828</v>
      </c>
      <c r="I4" s="153" t="s">
        <v>498</v>
      </c>
      <c r="J4" s="152" t="s">
        <v>660</v>
      </c>
      <c r="K4" s="153" t="s">
        <v>498</v>
      </c>
      <c r="L4" s="152" t="s">
        <v>660</v>
      </c>
      <c r="M4" s="154" t="s">
        <v>498</v>
      </c>
    </row>
    <row r="5" spans="1:15" ht="11.25" customHeight="1" thickBot="1" x14ac:dyDescent="0.3">
      <c r="A5" s="1207"/>
      <c r="B5" s="1208"/>
      <c r="C5" s="1208"/>
      <c r="D5" s="1208"/>
      <c r="E5" s="1208"/>
      <c r="F5" s="1209"/>
      <c r="G5" s="1212"/>
      <c r="H5" s="155">
        <v>1</v>
      </c>
      <c r="I5" s="156">
        <v>2</v>
      </c>
      <c r="J5" s="155">
        <v>3</v>
      </c>
      <c r="K5" s="156">
        <v>4</v>
      </c>
      <c r="L5" s="155">
        <v>5</v>
      </c>
      <c r="M5" s="157">
        <v>6</v>
      </c>
    </row>
    <row r="6" spans="1:15" ht="12.75" customHeight="1" x14ac:dyDescent="0.25">
      <c r="A6" s="1198" t="s">
        <v>921</v>
      </c>
      <c r="B6" s="1199"/>
      <c r="C6" s="1199"/>
      <c r="D6" s="1199"/>
      <c r="E6" s="1199"/>
      <c r="F6" s="1200"/>
      <c r="G6" s="158">
        <v>1</v>
      </c>
      <c r="H6" s="159">
        <f t="shared" ref="H6:M6" si="0">+H7+H32</f>
        <v>754624.86633000011</v>
      </c>
      <c r="I6" s="160">
        <f t="shared" si="0"/>
        <v>754387.92877</v>
      </c>
      <c r="J6" s="159">
        <f t="shared" si="0"/>
        <v>66942.924679999996</v>
      </c>
      <c r="K6" s="160">
        <f t="shared" si="0"/>
        <v>66942.924679999996</v>
      </c>
      <c r="L6" s="159">
        <f t="shared" si="0"/>
        <v>821567.79100999993</v>
      </c>
      <c r="M6" s="161">
        <f t="shared" si="0"/>
        <v>821330.85344999994</v>
      </c>
    </row>
    <row r="7" spans="1:15" ht="12.75" customHeight="1" x14ac:dyDescent="0.25">
      <c r="A7" s="162"/>
      <c r="B7" s="1196" t="s">
        <v>922</v>
      </c>
      <c r="C7" s="1196"/>
      <c r="D7" s="1196"/>
      <c r="E7" s="1196"/>
      <c r="F7" s="1197"/>
      <c r="G7" s="163">
        <f>G6+1</f>
        <v>2</v>
      </c>
      <c r="H7" s="164">
        <f t="shared" ref="H7:M7" si="1">+H8+H18+H25</f>
        <v>734311.63725000015</v>
      </c>
      <c r="I7" s="165">
        <f t="shared" si="1"/>
        <v>734108.80128000001</v>
      </c>
      <c r="J7" s="164">
        <f t="shared" si="1"/>
        <v>66942.924679999996</v>
      </c>
      <c r="K7" s="165">
        <f t="shared" si="1"/>
        <v>66942.924679999996</v>
      </c>
      <c r="L7" s="164">
        <f t="shared" si="1"/>
        <v>801254.56192999997</v>
      </c>
      <c r="M7" s="166">
        <f t="shared" si="1"/>
        <v>801051.72595999995</v>
      </c>
      <c r="N7"/>
      <c r="O7"/>
    </row>
    <row r="8" spans="1:15" ht="12.75" customHeight="1" x14ac:dyDescent="0.25">
      <c r="A8" s="167"/>
      <c r="B8" s="168"/>
      <c r="C8" s="169" t="s">
        <v>829</v>
      </c>
      <c r="D8" s="170" t="s">
        <v>923</v>
      </c>
      <c r="E8" s="168"/>
      <c r="F8" s="171"/>
      <c r="G8" s="172">
        <f t="shared" ref="G8:G34" si="2">G7+1</f>
        <v>3</v>
      </c>
      <c r="H8" s="173">
        <f t="shared" ref="H8:M8" si="3">+H9+H12</f>
        <v>682894.42160000012</v>
      </c>
      <c r="I8" s="174">
        <f t="shared" si="3"/>
        <v>682889.43246000004</v>
      </c>
      <c r="J8" s="173">
        <f t="shared" si="3"/>
        <v>65974.776700000002</v>
      </c>
      <c r="K8" s="174">
        <f t="shared" si="3"/>
        <v>65974.776700000002</v>
      </c>
      <c r="L8" s="173">
        <f t="shared" si="3"/>
        <v>748869.19829999993</v>
      </c>
      <c r="M8" s="175">
        <f t="shared" si="3"/>
        <v>748864.20915999997</v>
      </c>
      <c r="N8"/>
      <c r="O8"/>
    </row>
    <row r="9" spans="1:15" ht="12.75" customHeight="1" x14ac:dyDescent="0.25">
      <c r="A9" s="176"/>
      <c r="B9" s="177"/>
      <c r="C9" s="177"/>
      <c r="D9" s="177" t="s">
        <v>499</v>
      </c>
      <c r="E9" s="177" t="s">
        <v>981</v>
      </c>
      <c r="F9" s="178"/>
      <c r="G9" s="179">
        <f t="shared" si="2"/>
        <v>4</v>
      </c>
      <c r="H9" s="180">
        <f t="shared" ref="H9:M9" si="4">+H10+H11</f>
        <v>52604.36559999999</v>
      </c>
      <c r="I9" s="181">
        <f t="shared" si="4"/>
        <v>52604.36559999999</v>
      </c>
      <c r="J9" s="180">
        <f t="shared" si="4"/>
        <v>8418.7766999999985</v>
      </c>
      <c r="K9" s="181">
        <f t="shared" si="4"/>
        <v>8418.7766999999985</v>
      </c>
      <c r="L9" s="180">
        <f t="shared" si="4"/>
        <v>61023.142299999992</v>
      </c>
      <c r="M9" s="182">
        <f t="shared" si="4"/>
        <v>61023.142299999992</v>
      </c>
      <c r="N9"/>
      <c r="O9"/>
    </row>
    <row r="10" spans="1:15" ht="12.75" customHeight="1" x14ac:dyDescent="0.25">
      <c r="A10" s="183"/>
      <c r="B10" s="177"/>
      <c r="C10" s="177"/>
      <c r="D10" s="177"/>
      <c r="E10" s="177" t="s">
        <v>829</v>
      </c>
      <c r="F10" s="177" t="s">
        <v>831</v>
      </c>
      <c r="G10" s="184">
        <f t="shared" si="2"/>
        <v>5</v>
      </c>
      <c r="H10" s="185">
        <f>'5.d'!G9+'5.d'!G10+'5.d'!G12+'5.d'!G14</f>
        <v>22834.894799999995</v>
      </c>
      <c r="I10" s="186">
        <f>'5.d'!H9+'5.d'!H10+'5.d'!H12+'5.d'!H14</f>
        <v>22834.894799999995</v>
      </c>
      <c r="J10" s="185">
        <f>'5.d'!I9+'5.d'!I10+'5.d'!I12+'5.d'!I14</f>
        <v>-126.5</v>
      </c>
      <c r="K10" s="185">
        <f>'5.d'!J9+'5.d'!J10+'5.d'!J12+'5.d'!J14</f>
        <v>-126.5</v>
      </c>
      <c r="L10" s="185">
        <f>+H10+J10</f>
        <v>22708.394799999995</v>
      </c>
      <c r="M10" s="187">
        <f>+I10+K10</f>
        <v>22708.394799999995</v>
      </c>
      <c r="N10"/>
      <c r="O10"/>
    </row>
    <row r="11" spans="1:15" ht="12.75" customHeight="1" x14ac:dyDescent="0.25">
      <c r="A11" s="183"/>
      <c r="B11" s="177"/>
      <c r="C11" s="177"/>
      <c r="D11" s="177"/>
      <c r="E11" s="149"/>
      <c r="F11" s="177" t="s">
        <v>832</v>
      </c>
      <c r="G11" s="184">
        <f t="shared" si="2"/>
        <v>6</v>
      </c>
      <c r="H11" s="185">
        <f>'5.d'!G13+'5.d'!G15+'5.d'!G18+'5.d'!G20+'5.d'!G22</f>
        <v>29769.470799999999</v>
      </c>
      <c r="I11" s="186">
        <f>'5.d'!H13+'5.d'!H15+'5.d'!H18+'5.d'!H20+'5.d'!H22</f>
        <v>29769.470799999999</v>
      </c>
      <c r="J11" s="185">
        <f>'5.d'!I13+'5.d'!I15+'5.d'!I18+'5.d'!I20+'5.d'!I22</f>
        <v>8545.2766999999985</v>
      </c>
      <c r="K11" s="186">
        <f>'5.d'!J13+'5.d'!J15+'5.d'!J18+'5.d'!J20+'5.d'!J22</f>
        <v>8545.2766999999985</v>
      </c>
      <c r="L11" s="185">
        <f>+H11+J11</f>
        <v>38314.747499999998</v>
      </c>
      <c r="M11" s="187">
        <f>+I11+K11</f>
        <v>38314.747499999998</v>
      </c>
      <c r="N11"/>
      <c r="O11"/>
    </row>
    <row r="12" spans="1:15" ht="12.75" customHeight="1" x14ac:dyDescent="0.25">
      <c r="A12" s="176"/>
      <c r="B12" s="177"/>
      <c r="C12" s="177"/>
      <c r="D12" s="177"/>
      <c r="E12" s="177" t="s">
        <v>924</v>
      </c>
      <c r="F12" s="178"/>
      <c r="G12" s="179">
        <f>G11+1</f>
        <v>7</v>
      </c>
      <c r="H12" s="180">
        <f t="shared" ref="H12:M12" si="5">+H13+H17</f>
        <v>630290.0560000001</v>
      </c>
      <c r="I12" s="181">
        <f t="shared" si="5"/>
        <v>630285.06686000002</v>
      </c>
      <c r="J12" s="180">
        <f t="shared" si="5"/>
        <v>57556</v>
      </c>
      <c r="K12" s="181">
        <f t="shared" si="5"/>
        <v>57556</v>
      </c>
      <c r="L12" s="180">
        <f t="shared" si="5"/>
        <v>687846.05599999998</v>
      </c>
      <c r="M12" s="182">
        <f t="shared" si="5"/>
        <v>687841.06686000002</v>
      </c>
      <c r="N12"/>
      <c r="O12"/>
    </row>
    <row r="13" spans="1:15" s="189" customFormat="1" ht="12.75" customHeight="1" x14ac:dyDescent="0.25">
      <c r="A13" s="188"/>
      <c r="B13" s="177"/>
      <c r="C13" s="177"/>
      <c r="D13" s="177"/>
      <c r="E13" s="177" t="s">
        <v>829</v>
      </c>
      <c r="F13" s="177" t="s">
        <v>925</v>
      </c>
      <c r="G13" s="179">
        <f t="shared" si="2"/>
        <v>8</v>
      </c>
      <c r="H13" s="185">
        <f t="shared" ref="H13:M13" si="6">+H14+H15+H16</f>
        <v>523761.95600000006</v>
      </c>
      <c r="I13" s="186">
        <f>+I14+I15+I16</f>
        <v>523761.13500000007</v>
      </c>
      <c r="J13" s="185">
        <f t="shared" si="6"/>
        <v>57148</v>
      </c>
      <c r="K13" s="186">
        <f t="shared" si="6"/>
        <v>57148</v>
      </c>
      <c r="L13" s="185">
        <f t="shared" si="6"/>
        <v>580909.95600000001</v>
      </c>
      <c r="M13" s="187">
        <f t="shared" si="6"/>
        <v>580909.13500000001</v>
      </c>
      <c r="N13" s="69"/>
      <c r="O13" s="69"/>
    </row>
    <row r="14" spans="1:15" s="189" customFormat="1" ht="12.75" customHeight="1" x14ac:dyDescent="0.25">
      <c r="A14" s="188"/>
      <c r="B14" s="177"/>
      <c r="C14" s="177"/>
      <c r="D14" s="177"/>
      <c r="E14" s="149"/>
      <c r="F14" s="177" t="s">
        <v>919</v>
      </c>
      <c r="G14" s="179">
        <f t="shared" si="2"/>
        <v>9</v>
      </c>
      <c r="H14" s="185">
        <f>'5.a'!D8</f>
        <v>521976.19000000006</v>
      </c>
      <c r="I14" s="186">
        <f>'5.a'!E8</f>
        <v>521976.19000000006</v>
      </c>
      <c r="J14" s="185">
        <f>'5.a'!F8</f>
        <v>29230</v>
      </c>
      <c r="K14" s="186">
        <f>'5.a'!G8</f>
        <v>29230</v>
      </c>
      <c r="L14" s="185">
        <f t="shared" ref="L14:M17" si="7">+H14+J14</f>
        <v>551206.19000000006</v>
      </c>
      <c r="M14" s="187">
        <f t="shared" si="7"/>
        <v>551206.19000000006</v>
      </c>
      <c r="N14" s="69"/>
      <c r="O14" s="69"/>
    </row>
    <row r="15" spans="1:15" s="189" customFormat="1" ht="12.75" customHeight="1" x14ac:dyDescent="0.25">
      <c r="A15" s="190"/>
      <c r="B15" s="177"/>
      <c r="C15" s="177"/>
      <c r="D15" s="177"/>
      <c r="E15" s="177"/>
      <c r="F15" s="177" t="s">
        <v>918</v>
      </c>
      <c r="G15" s="179">
        <f t="shared" si="2"/>
        <v>10</v>
      </c>
      <c r="H15" s="185">
        <f>'5.c'!D10</f>
        <v>0</v>
      </c>
      <c r="I15" s="186">
        <f>'5.c'!E10</f>
        <v>0</v>
      </c>
      <c r="J15" s="185">
        <f>'5.c'!F10</f>
        <v>27318</v>
      </c>
      <c r="K15" s="186">
        <f>'5.c'!G10</f>
        <v>27318</v>
      </c>
      <c r="L15" s="185">
        <f t="shared" si="7"/>
        <v>27318</v>
      </c>
      <c r="M15" s="187">
        <f t="shared" si="7"/>
        <v>27318</v>
      </c>
      <c r="N15" s="69"/>
      <c r="O15" s="69"/>
    </row>
    <row r="16" spans="1:15" s="189" customFormat="1" ht="12.75" customHeight="1" x14ac:dyDescent="0.25">
      <c r="A16" s="188"/>
      <c r="B16" s="177"/>
      <c r="C16" s="177"/>
      <c r="D16" s="177"/>
      <c r="E16" s="149"/>
      <c r="F16" s="177" t="s">
        <v>920</v>
      </c>
      <c r="G16" s="179">
        <f t="shared" si="2"/>
        <v>11</v>
      </c>
      <c r="H16" s="185">
        <f>'5.a'!D18</f>
        <v>1785.7660000000001</v>
      </c>
      <c r="I16" s="186">
        <f>'5.a'!E18</f>
        <v>1784.9449999999999</v>
      </c>
      <c r="J16" s="185">
        <f>'5.a'!F18</f>
        <v>600</v>
      </c>
      <c r="K16" s="186">
        <f>'5.a'!G18</f>
        <v>600</v>
      </c>
      <c r="L16" s="185">
        <f t="shared" si="7"/>
        <v>2385.7660000000001</v>
      </c>
      <c r="M16" s="187">
        <f t="shared" si="7"/>
        <v>2384.9449999999997</v>
      </c>
      <c r="N16" s="69"/>
      <c r="O16" s="69"/>
    </row>
    <row r="17" spans="1:15" s="189" customFormat="1" ht="12.75" customHeight="1" x14ac:dyDescent="0.25">
      <c r="A17" s="191"/>
      <c r="B17" s="177"/>
      <c r="C17" s="177"/>
      <c r="D17" s="177"/>
      <c r="E17" s="177"/>
      <c r="F17" s="177" t="s">
        <v>832</v>
      </c>
      <c r="G17" s="179">
        <f t="shared" si="2"/>
        <v>12</v>
      </c>
      <c r="H17" s="185">
        <f>'5.b'!C7</f>
        <v>106528.1</v>
      </c>
      <c r="I17" s="186">
        <f>'5.b'!D7</f>
        <v>106523.93186</v>
      </c>
      <c r="J17" s="185">
        <f>'5.b'!E7</f>
        <v>408</v>
      </c>
      <c r="K17" s="186">
        <f>'5.b'!F7</f>
        <v>408</v>
      </c>
      <c r="L17" s="185">
        <f t="shared" si="7"/>
        <v>106936.1</v>
      </c>
      <c r="M17" s="187">
        <f t="shared" si="7"/>
        <v>106931.93186</v>
      </c>
      <c r="N17" s="69"/>
      <c r="O17" s="69"/>
    </row>
    <row r="18" spans="1:15" ht="12.75" customHeight="1" x14ac:dyDescent="0.25">
      <c r="A18" s="167"/>
      <c r="B18" s="168"/>
      <c r="C18" s="169"/>
      <c r="D18" s="170" t="s">
        <v>926</v>
      </c>
      <c r="E18" s="168"/>
      <c r="F18" s="171"/>
      <c r="G18" s="172">
        <f t="shared" si="2"/>
        <v>13</v>
      </c>
      <c r="H18" s="173">
        <f t="shared" ref="H18:M18" si="8">+H19+H22</f>
        <v>35879.414449999997</v>
      </c>
      <c r="I18" s="174">
        <f t="shared" si="8"/>
        <v>35761.191309999995</v>
      </c>
      <c r="J18" s="173">
        <f t="shared" si="8"/>
        <v>968.14797999999996</v>
      </c>
      <c r="K18" s="174">
        <f t="shared" si="8"/>
        <v>968.14797999999996</v>
      </c>
      <c r="L18" s="173">
        <f t="shared" si="8"/>
        <v>36847.562429999998</v>
      </c>
      <c r="M18" s="175">
        <f t="shared" si="8"/>
        <v>36729.339289999996</v>
      </c>
    </row>
    <row r="19" spans="1:15" ht="12.75" customHeight="1" x14ac:dyDescent="0.25">
      <c r="A19" s="176"/>
      <c r="B19" s="177"/>
      <c r="C19" s="177"/>
      <c r="D19" s="177" t="s">
        <v>499</v>
      </c>
      <c r="E19" s="177" t="s">
        <v>927</v>
      </c>
      <c r="F19" s="178"/>
      <c r="G19" s="179">
        <f t="shared" si="2"/>
        <v>14</v>
      </c>
      <c r="H19" s="180">
        <f t="shared" ref="H19:M19" si="9">+H20+H21</f>
        <v>156.92239000000001</v>
      </c>
      <c r="I19" s="181">
        <f t="shared" si="9"/>
        <v>156.92239000000001</v>
      </c>
      <c r="J19" s="180">
        <f t="shared" si="9"/>
        <v>968.14797999999996</v>
      </c>
      <c r="K19" s="181">
        <f t="shared" si="9"/>
        <v>968.14797999999996</v>
      </c>
      <c r="L19" s="180">
        <f t="shared" si="9"/>
        <v>1125.0703699999999</v>
      </c>
      <c r="M19" s="182">
        <f t="shared" si="9"/>
        <v>1125.0703699999999</v>
      </c>
    </row>
    <row r="20" spans="1:15" ht="12.75" customHeight="1" x14ac:dyDescent="0.25">
      <c r="A20" s="183"/>
      <c r="B20" s="177"/>
      <c r="C20" s="177"/>
      <c r="D20" s="177"/>
      <c r="E20" s="177" t="s">
        <v>829</v>
      </c>
      <c r="F20" s="177" t="s">
        <v>831</v>
      </c>
      <c r="G20" s="179">
        <f t="shared" si="2"/>
        <v>15</v>
      </c>
      <c r="H20" s="185">
        <f>'5.d'!G27+'5.d'!G29+'5.d'!G32</f>
        <v>156.92239000000001</v>
      </c>
      <c r="I20" s="186">
        <f>'5.d'!H27+'5.d'!H29+'5.d'!H32</f>
        <v>156.92239000000001</v>
      </c>
      <c r="J20" s="185">
        <f>'5.d'!I27+'5.d'!I29+'5.d'!I32</f>
        <v>968.14797999999996</v>
      </c>
      <c r="K20" s="186">
        <f>'5.d'!J27+'5.d'!J29+'5.d'!J32</f>
        <v>968.14797999999996</v>
      </c>
      <c r="L20" s="185">
        <f>+H20+J20</f>
        <v>1125.0703699999999</v>
      </c>
      <c r="M20" s="187">
        <f>+I20+K20</f>
        <v>1125.0703699999999</v>
      </c>
    </row>
    <row r="21" spans="1:15" ht="12.75" customHeight="1" x14ac:dyDescent="0.25">
      <c r="A21" s="183"/>
      <c r="B21" s="177"/>
      <c r="C21" s="177"/>
      <c r="D21" s="177"/>
      <c r="E21" s="149"/>
      <c r="F21" s="177" t="s">
        <v>832</v>
      </c>
      <c r="G21" s="179">
        <f t="shared" si="2"/>
        <v>16</v>
      </c>
      <c r="H21" s="185">
        <v>0</v>
      </c>
      <c r="I21" s="186">
        <v>0</v>
      </c>
      <c r="J21" s="185">
        <v>0</v>
      </c>
      <c r="K21" s="186">
        <v>0</v>
      </c>
      <c r="L21" s="185">
        <f>+H21+J21</f>
        <v>0</v>
      </c>
      <c r="M21" s="187">
        <f>+I21+K21</f>
        <v>0</v>
      </c>
    </row>
    <row r="22" spans="1:15" ht="12.75" customHeight="1" x14ac:dyDescent="0.25">
      <c r="A22" s="176"/>
      <c r="B22" s="177"/>
      <c r="C22" s="177"/>
      <c r="D22" s="177"/>
      <c r="E22" s="177" t="s">
        <v>928</v>
      </c>
      <c r="F22" s="178"/>
      <c r="G22" s="179">
        <f>G21+1</f>
        <v>17</v>
      </c>
      <c r="H22" s="180">
        <f t="shared" ref="H22:M22" si="10">+H23+H24</f>
        <v>35722.492059999997</v>
      </c>
      <c r="I22" s="181">
        <f t="shared" si="10"/>
        <v>35604.268919999995</v>
      </c>
      <c r="J22" s="180">
        <f t="shared" si="10"/>
        <v>0</v>
      </c>
      <c r="K22" s="181">
        <f t="shared" si="10"/>
        <v>0</v>
      </c>
      <c r="L22" s="180">
        <f t="shared" si="10"/>
        <v>35722.492059999997</v>
      </c>
      <c r="M22" s="182">
        <f t="shared" si="10"/>
        <v>35604.268919999995</v>
      </c>
    </row>
    <row r="23" spans="1:15" ht="12.75" customHeight="1" x14ac:dyDescent="0.25">
      <c r="A23" s="188"/>
      <c r="B23" s="177"/>
      <c r="C23" s="177"/>
      <c r="D23" s="177"/>
      <c r="E23" s="177" t="s">
        <v>829</v>
      </c>
      <c r="F23" s="177" t="s">
        <v>831</v>
      </c>
      <c r="G23" s="179">
        <f t="shared" si="2"/>
        <v>18</v>
      </c>
      <c r="H23" s="185">
        <f>'5.a'!D26</f>
        <v>1719.4810600000001</v>
      </c>
      <c r="I23" s="186">
        <f>'5.a'!E26</f>
        <v>1719.4810600000001</v>
      </c>
      <c r="J23" s="185">
        <f>'5.a'!F26</f>
        <v>0</v>
      </c>
      <c r="K23" s="186">
        <f>'5.a'!G26</f>
        <v>0</v>
      </c>
      <c r="L23" s="185">
        <f>+H23+J23</f>
        <v>1719.4810600000001</v>
      </c>
      <c r="M23" s="187">
        <f>+I23+K23</f>
        <v>1719.4810600000001</v>
      </c>
    </row>
    <row r="24" spans="1:15" ht="12.75" customHeight="1" x14ac:dyDescent="0.25">
      <c r="A24" s="191"/>
      <c r="B24" s="177"/>
      <c r="C24" s="177"/>
      <c r="D24" s="177"/>
      <c r="E24" s="149"/>
      <c r="F24" s="177" t="s">
        <v>832</v>
      </c>
      <c r="G24" s="179">
        <f t="shared" si="2"/>
        <v>19</v>
      </c>
      <c r="H24" s="185">
        <f>'5.b'!C24</f>
        <v>34003.010999999999</v>
      </c>
      <c r="I24" s="186">
        <f>'5.b'!D24</f>
        <v>33884.787859999997</v>
      </c>
      <c r="J24" s="185">
        <f>'5.b'!E24</f>
        <v>0</v>
      </c>
      <c r="K24" s="186">
        <f>'5.b'!F24</f>
        <v>0</v>
      </c>
      <c r="L24" s="185">
        <f>+H24+J24</f>
        <v>34003.010999999999</v>
      </c>
      <c r="M24" s="187">
        <f>+I24+K24</f>
        <v>33884.787859999997</v>
      </c>
    </row>
    <row r="25" spans="1:15" ht="12.75" customHeight="1" x14ac:dyDescent="0.25">
      <c r="A25" s="167"/>
      <c r="B25" s="168"/>
      <c r="C25" s="169"/>
      <c r="D25" s="170" t="s">
        <v>929</v>
      </c>
      <c r="E25" s="168"/>
      <c r="F25" s="171"/>
      <c r="G25" s="172">
        <f t="shared" si="2"/>
        <v>20</v>
      </c>
      <c r="H25" s="173">
        <f t="shared" ref="H25:M25" si="11">+H26+H29</f>
        <v>15537.8012</v>
      </c>
      <c r="I25" s="174">
        <f t="shared" si="11"/>
        <v>15458.17751</v>
      </c>
      <c r="J25" s="173">
        <f t="shared" si="11"/>
        <v>0</v>
      </c>
      <c r="K25" s="174">
        <f t="shared" si="11"/>
        <v>0</v>
      </c>
      <c r="L25" s="173">
        <f t="shared" si="11"/>
        <v>15537.8012</v>
      </c>
      <c r="M25" s="175">
        <f t="shared" si="11"/>
        <v>15458.17751</v>
      </c>
    </row>
    <row r="26" spans="1:15" ht="12.75" customHeight="1" x14ac:dyDescent="0.25">
      <c r="A26" s="176"/>
      <c r="B26" s="177"/>
      <c r="C26" s="177"/>
      <c r="D26" s="177" t="s">
        <v>499</v>
      </c>
      <c r="E26" s="177" t="s">
        <v>930</v>
      </c>
      <c r="F26" s="178"/>
      <c r="G26" s="179">
        <f t="shared" si="2"/>
        <v>21</v>
      </c>
      <c r="H26" s="180">
        <f t="shared" ref="H26:M26" si="12">+H27+H28</f>
        <v>0</v>
      </c>
      <c r="I26" s="181">
        <f t="shared" si="12"/>
        <v>0</v>
      </c>
      <c r="J26" s="180">
        <f t="shared" si="12"/>
        <v>0</v>
      </c>
      <c r="K26" s="181">
        <f t="shared" si="12"/>
        <v>0</v>
      </c>
      <c r="L26" s="180">
        <f t="shared" si="12"/>
        <v>0</v>
      </c>
      <c r="M26" s="182">
        <f t="shared" si="12"/>
        <v>0</v>
      </c>
    </row>
    <row r="27" spans="1:15" ht="12.75" customHeight="1" x14ac:dyDescent="0.25">
      <c r="A27" s="183"/>
      <c r="B27" s="177"/>
      <c r="C27" s="177"/>
      <c r="D27" s="177"/>
      <c r="E27" s="177" t="s">
        <v>829</v>
      </c>
      <c r="F27" s="177" t="s">
        <v>831</v>
      </c>
      <c r="G27" s="179">
        <f t="shared" si="2"/>
        <v>22</v>
      </c>
      <c r="H27" s="185">
        <f>'5.d'!G34</f>
        <v>0</v>
      </c>
      <c r="I27" s="186">
        <f>'5.d'!H34</f>
        <v>0</v>
      </c>
      <c r="J27" s="185">
        <f>'5.d'!I34</f>
        <v>0</v>
      </c>
      <c r="K27" s="186">
        <f>'5.d'!J34</f>
        <v>0</v>
      </c>
      <c r="L27" s="185">
        <f>+H27+J27</f>
        <v>0</v>
      </c>
      <c r="M27" s="187">
        <f>+I27+K27</f>
        <v>0</v>
      </c>
    </row>
    <row r="28" spans="1:15" ht="12.75" customHeight="1" x14ac:dyDescent="0.25">
      <c r="A28" s="183"/>
      <c r="B28" s="177"/>
      <c r="C28" s="177"/>
      <c r="D28" s="177"/>
      <c r="E28" s="149"/>
      <c r="F28" s="177" t="s">
        <v>832</v>
      </c>
      <c r="G28" s="179">
        <f t="shared" si="2"/>
        <v>23</v>
      </c>
      <c r="H28" s="185">
        <v>0</v>
      </c>
      <c r="I28" s="186">
        <v>0</v>
      </c>
      <c r="J28" s="185">
        <v>0</v>
      </c>
      <c r="K28" s="186">
        <v>0</v>
      </c>
      <c r="L28" s="185">
        <f>+H28+J28</f>
        <v>0</v>
      </c>
      <c r="M28" s="187">
        <f>+I28+K28</f>
        <v>0</v>
      </c>
    </row>
    <row r="29" spans="1:15" ht="13.5" customHeight="1" x14ac:dyDescent="0.25">
      <c r="A29" s="176"/>
      <c r="B29" s="177"/>
      <c r="C29" s="177"/>
      <c r="D29" s="177"/>
      <c r="E29" s="177" t="s">
        <v>998</v>
      </c>
      <c r="F29" s="178"/>
      <c r="G29" s="179">
        <f t="shared" si="2"/>
        <v>24</v>
      </c>
      <c r="H29" s="180">
        <f t="shared" ref="H29:M29" si="13">+H30+H31</f>
        <v>15537.8012</v>
      </c>
      <c r="I29" s="181">
        <f t="shared" si="13"/>
        <v>15458.17751</v>
      </c>
      <c r="J29" s="180">
        <f t="shared" si="13"/>
        <v>0</v>
      </c>
      <c r="K29" s="181">
        <f t="shared" si="13"/>
        <v>0</v>
      </c>
      <c r="L29" s="180">
        <f t="shared" si="13"/>
        <v>15537.8012</v>
      </c>
      <c r="M29" s="182">
        <f t="shared" si="13"/>
        <v>15458.17751</v>
      </c>
    </row>
    <row r="30" spans="1:15" ht="13.5" customHeight="1" x14ac:dyDescent="0.25">
      <c r="A30" s="188"/>
      <c r="B30" s="177"/>
      <c r="C30" s="177"/>
      <c r="D30" s="177"/>
      <c r="E30" s="177" t="s">
        <v>829</v>
      </c>
      <c r="F30" s="177" t="s">
        <v>831</v>
      </c>
      <c r="G30" s="179">
        <f t="shared" si="2"/>
        <v>25</v>
      </c>
      <c r="H30" s="185">
        <f>'5.a'!D32</f>
        <v>15537.8012</v>
      </c>
      <c r="I30" s="186">
        <f>'5.a'!E32</f>
        <v>15458.17751</v>
      </c>
      <c r="J30" s="185">
        <f>'5.a'!F32</f>
        <v>0</v>
      </c>
      <c r="K30" s="186">
        <f>'5.a'!G32</f>
        <v>0</v>
      </c>
      <c r="L30" s="185">
        <f>+H30+J30</f>
        <v>15537.8012</v>
      </c>
      <c r="M30" s="187">
        <f>+I30+K30</f>
        <v>15458.17751</v>
      </c>
    </row>
    <row r="31" spans="1:15" ht="13.5" customHeight="1" x14ac:dyDescent="0.25">
      <c r="A31" s="191"/>
      <c r="B31" s="177"/>
      <c r="C31" s="177"/>
      <c r="D31" s="177"/>
      <c r="E31" s="149"/>
      <c r="F31" s="177" t="s">
        <v>832</v>
      </c>
      <c r="G31" s="179">
        <f t="shared" si="2"/>
        <v>26</v>
      </c>
      <c r="H31" s="185">
        <f>'5.b'!C38</f>
        <v>0</v>
      </c>
      <c r="I31" s="186">
        <f>'5.b'!D38</f>
        <v>0</v>
      </c>
      <c r="J31" s="185">
        <f>'5.b'!E38</f>
        <v>0</v>
      </c>
      <c r="K31" s="186">
        <f>'5.b'!F38</f>
        <v>0</v>
      </c>
      <c r="L31" s="185">
        <f>+H31+J31</f>
        <v>0</v>
      </c>
      <c r="M31" s="187">
        <f>+I31+K31</f>
        <v>0</v>
      </c>
    </row>
    <row r="32" spans="1:15" ht="12.75" customHeight="1" x14ac:dyDescent="0.25">
      <c r="A32" s="162"/>
      <c r="B32" s="1196" t="s">
        <v>931</v>
      </c>
      <c r="C32" s="1196"/>
      <c r="D32" s="1196" t="s">
        <v>658</v>
      </c>
      <c r="E32" s="1196" t="s">
        <v>830</v>
      </c>
      <c r="F32" s="1197"/>
      <c r="G32" s="163">
        <f>G31+1</f>
        <v>27</v>
      </c>
      <c r="H32" s="164">
        <f t="shared" ref="H32:M32" si="14">+H33+H34</f>
        <v>20313.229079999997</v>
      </c>
      <c r="I32" s="165">
        <f t="shared" si="14"/>
        <v>20279.127489999999</v>
      </c>
      <c r="J32" s="164">
        <f t="shared" si="14"/>
        <v>0</v>
      </c>
      <c r="K32" s="165">
        <f t="shared" si="14"/>
        <v>0</v>
      </c>
      <c r="L32" s="164">
        <f t="shared" si="14"/>
        <v>20313.229079999997</v>
      </c>
      <c r="M32" s="166">
        <f t="shared" si="14"/>
        <v>20279.127489999999</v>
      </c>
    </row>
    <row r="33" spans="1:15" s="189" customFormat="1" ht="12.75" customHeight="1" x14ac:dyDescent="0.25">
      <c r="A33" s="188"/>
      <c r="B33" s="192"/>
      <c r="C33" s="177"/>
      <c r="D33" s="177"/>
      <c r="E33" s="193" t="s">
        <v>831</v>
      </c>
      <c r="F33" s="194"/>
      <c r="G33" s="179">
        <f>G32+1</f>
        <v>28</v>
      </c>
      <c r="H33" s="185">
        <f>'5.a'!D36+'5.d'!G43</f>
        <v>14323.835349999999</v>
      </c>
      <c r="I33" s="186">
        <f>'5.a'!E36+'5.d'!H43</f>
        <v>14323.835349999999</v>
      </c>
      <c r="J33" s="185">
        <f>'5.a'!F36+'5.d'!I43</f>
        <v>0</v>
      </c>
      <c r="K33" s="186">
        <f>'5.a'!G36+'5.d'!J43</f>
        <v>0</v>
      </c>
      <c r="L33" s="185">
        <f>+H33+J33</f>
        <v>14323.835349999999</v>
      </c>
      <c r="M33" s="187">
        <f>+I33+K33</f>
        <v>14323.835349999999</v>
      </c>
    </row>
    <row r="34" spans="1:15" s="189" customFormat="1" ht="12.75" customHeight="1" thickBot="1" x14ac:dyDescent="0.3">
      <c r="A34" s="195"/>
      <c r="B34" s="196"/>
      <c r="C34" s="196"/>
      <c r="D34" s="196"/>
      <c r="E34" s="197" t="s">
        <v>832</v>
      </c>
      <c r="F34" s="198"/>
      <c r="G34" s="199">
        <f t="shared" si="2"/>
        <v>29</v>
      </c>
      <c r="H34" s="200">
        <f>'5.b'!C41</f>
        <v>5989.3937299999998</v>
      </c>
      <c r="I34" s="201">
        <f>'5.b'!D41</f>
        <v>5955.2921399999996</v>
      </c>
      <c r="J34" s="200">
        <f>'5.b'!E41</f>
        <v>0</v>
      </c>
      <c r="K34" s="201">
        <f>'5.b'!F41</f>
        <v>0</v>
      </c>
      <c r="L34" s="200">
        <f>+H34+J34</f>
        <v>5989.3937299999998</v>
      </c>
      <c r="M34" s="202">
        <f>+I34+K34</f>
        <v>5955.2921399999996</v>
      </c>
    </row>
    <row r="35" spans="1:15" s="189" customFormat="1" ht="12.75" customHeight="1" thickBot="1" x14ac:dyDescent="0.3">
      <c r="A35" s="101"/>
      <c r="B35" s="101"/>
      <c r="C35" s="101"/>
      <c r="D35" s="101"/>
      <c r="E35" s="101"/>
      <c r="F35" s="101"/>
      <c r="G35" s="101"/>
      <c r="H35" s="127"/>
      <c r="I35" s="127"/>
      <c r="J35" s="127"/>
      <c r="K35" s="127"/>
      <c r="L35" s="127"/>
      <c r="M35" s="127"/>
    </row>
    <row r="36" spans="1:15" ht="12.75" customHeight="1" x14ac:dyDescent="0.25">
      <c r="A36" s="1198" t="s">
        <v>932</v>
      </c>
      <c r="B36" s="1199"/>
      <c r="C36" s="1199"/>
      <c r="D36" s="1199"/>
      <c r="E36" s="1199"/>
      <c r="F36" s="1200"/>
      <c r="G36" s="158">
        <f>G34+1</f>
        <v>30</v>
      </c>
      <c r="H36" s="159">
        <f t="shared" ref="H36:M36" si="15">+H37+H42</f>
        <v>754624.86632999999</v>
      </c>
      <c r="I36" s="160">
        <f t="shared" si="15"/>
        <v>754387.92876999988</v>
      </c>
      <c r="J36" s="159">
        <f t="shared" si="15"/>
        <v>66942.924679999996</v>
      </c>
      <c r="K36" s="160">
        <f t="shared" si="15"/>
        <v>66942.924679999996</v>
      </c>
      <c r="L36" s="159">
        <f t="shared" si="15"/>
        <v>821567.79100999993</v>
      </c>
      <c r="M36" s="161">
        <f t="shared" si="15"/>
        <v>821330.85344999994</v>
      </c>
      <c r="N36" s="189"/>
      <c r="O36" s="189"/>
    </row>
    <row r="37" spans="1:15" ht="12.75" customHeight="1" x14ac:dyDescent="0.25">
      <c r="A37" s="176"/>
      <c r="B37" s="177"/>
      <c r="C37" s="203" t="s">
        <v>829</v>
      </c>
      <c r="D37" s="177" t="s">
        <v>933</v>
      </c>
      <c r="E37" s="177"/>
      <c r="F37" s="178"/>
      <c r="G37" s="179">
        <f t="shared" ref="G37:G55" si="16">G36+1</f>
        <v>31</v>
      </c>
      <c r="H37" s="180">
        <f t="shared" ref="H37:M37" si="17">+H38+H39+H40+H41</f>
        <v>578334.89079999994</v>
      </c>
      <c r="I37" s="181">
        <f t="shared" si="17"/>
        <v>578254.4461099999</v>
      </c>
      <c r="J37" s="180">
        <f t="shared" si="17"/>
        <v>57989.647980000002</v>
      </c>
      <c r="K37" s="181">
        <f t="shared" si="17"/>
        <v>57989.647980000002</v>
      </c>
      <c r="L37" s="180">
        <f t="shared" si="17"/>
        <v>636324.53877999994</v>
      </c>
      <c r="M37" s="182">
        <f t="shared" si="17"/>
        <v>636244.09408999991</v>
      </c>
      <c r="N37" s="189"/>
      <c r="O37" s="189"/>
    </row>
    <row r="38" spans="1:15" ht="12.75" customHeight="1" x14ac:dyDescent="0.25">
      <c r="A38" s="176"/>
      <c r="B38" s="177"/>
      <c r="C38" s="177"/>
      <c r="D38" s="204" t="s">
        <v>829</v>
      </c>
      <c r="E38" s="205" t="s">
        <v>934</v>
      </c>
      <c r="F38" s="178"/>
      <c r="G38" s="184">
        <f t="shared" si="16"/>
        <v>32</v>
      </c>
      <c r="H38" s="185">
        <f t="shared" ref="H38:M38" si="18">+H10+H13</f>
        <v>546596.85080000001</v>
      </c>
      <c r="I38" s="186">
        <f t="shared" si="18"/>
        <v>546596.02980000002</v>
      </c>
      <c r="J38" s="185">
        <f t="shared" si="18"/>
        <v>57021.5</v>
      </c>
      <c r="K38" s="186">
        <f t="shared" si="18"/>
        <v>57021.5</v>
      </c>
      <c r="L38" s="185">
        <f t="shared" si="18"/>
        <v>603618.35080000001</v>
      </c>
      <c r="M38" s="187">
        <f t="shared" si="18"/>
        <v>603617.52980000002</v>
      </c>
      <c r="N38" s="189"/>
      <c r="O38" s="189"/>
    </row>
    <row r="39" spans="1:15" ht="12.75" customHeight="1" x14ac:dyDescent="0.25">
      <c r="A39" s="176"/>
      <c r="B39" s="177"/>
      <c r="C39" s="177"/>
      <c r="D39" s="177"/>
      <c r="E39" s="205" t="s">
        <v>935</v>
      </c>
      <c r="F39" s="178"/>
      <c r="G39" s="184">
        <f t="shared" si="16"/>
        <v>33</v>
      </c>
      <c r="H39" s="185">
        <f t="shared" ref="H39:M39" si="19">+H20+H23</f>
        <v>1876.40345</v>
      </c>
      <c r="I39" s="186">
        <f t="shared" si="19"/>
        <v>1876.40345</v>
      </c>
      <c r="J39" s="185">
        <f t="shared" si="19"/>
        <v>968.14797999999996</v>
      </c>
      <c r="K39" s="186">
        <f t="shared" si="19"/>
        <v>968.14797999999996</v>
      </c>
      <c r="L39" s="185">
        <f t="shared" si="19"/>
        <v>2844.55143</v>
      </c>
      <c r="M39" s="187">
        <f t="shared" si="19"/>
        <v>2844.55143</v>
      </c>
      <c r="N39" s="189"/>
      <c r="O39" s="189"/>
    </row>
    <row r="40" spans="1:15" ht="12.75" customHeight="1" x14ac:dyDescent="0.25">
      <c r="A40" s="176"/>
      <c r="B40" s="177"/>
      <c r="C40" s="177"/>
      <c r="D40" s="177"/>
      <c r="E40" s="205" t="s">
        <v>936</v>
      </c>
      <c r="F40" s="178"/>
      <c r="G40" s="184">
        <f t="shared" si="16"/>
        <v>34</v>
      </c>
      <c r="H40" s="185">
        <f t="shared" ref="H40:M40" si="20">+H27+H30</f>
        <v>15537.8012</v>
      </c>
      <c r="I40" s="186">
        <f t="shared" si="20"/>
        <v>15458.17751</v>
      </c>
      <c r="J40" s="185">
        <f t="shared" si="20"/>
        <v>0</v>
      </c>
      <c r="K40" s="186">
        <f t="shared" si="20"/>
        <v>0</v>
      </c>
      <c r="L40" s="185">
        <f t="shared" si="20"/>
        <v>15537.8012</v>
      </c>
      <c r="M40" s="187">
        <f t="shared" si="20"/>
        <v>15458.17751</v>
      </c>
      <c r="N40" s="189"/>
      <c r="O40" s="189"/>
    </row>
    <row r="41" spans="1:15" ht="12.75" customHeight="1" x14ac:dyDescent="0.25">
      <c r="A41" s="176"/>
      <c r="B41" s="177"/>
      <c r="C41" s="177"/>
      <c r="D41" s="204"/>
      <c r="E41" s="177" t="s">
        <v>937</v>
      </c>
      <c r="F41" s="178"/>
      <c r="G41" s="184">
        <f t="shared" si="16"/>
        <v>35</v>
      </c>
      <c r="H41" s="185">
        <f t="shared" ref="H41:M41" si="21">+H33</f>
        <v>14323.835349999999</v>
      </c>
      <c r="I41" s="186">
        <f t="shared" si="21"/>
        <v>14323.835349999999</v>
      </c>
      <c r="J41" s="185">
        <f t="shared" si="21"/>
        <v>0</v>
      </c>
      <c r="K41" s="186">
        <f t="shared" si="21"/>
        <v>0</v>
      </c>
      <c r="L41" s="185">
        <f t="shared" si="21"/>
        <v>14323.835349999999</v>
      </c>
      <c r="M41" s="187">
        <f t="shared" si="21"/>
        <v>14323.835349999999</v>
      </c>
      <c r="N41" s="189"/>
      <c r="O41" s="189"/>
    </row>
    <row r="42" spans="1:15" ht="12.75" customHeight="1" x14ac:dyDescent="0.25">
      <c r="A42" s="176"/>
      <c r="B42" s="177"/>
      <c r="C42" s="205"/>
      <c r="D42" s="177" t="s">
        <v>938</v>
      </c>
      <c r="E42" s="177"/>
      <c r="F42" s="178"/>
      <c r="G42" s="179">
        <f t="shared" si="16"/>
        <v>36</v>
      </c>
      <c r="H42" s="180">
        <f t="shared" ref="H42:M42" si="22">+H43+H44+H45+H46</f>
        <v>176289.97553000003</v>
      </c>
      <c r="I42" s="181">
        <f t="shared" si="22"/>
        <v>176133.48266000001</v>
      </c>
      <c r="J42" s="180">
        <f t="shared" si="22"/>
        <v>8953.2766999999985</v>
      </c>
      <c r="K42" s="181">
        <f t="shared" si="22"/>
        <v>8953.2766999999985</v>
      </c>
      <c r="L42" s="180">
        <f t="shared" si="22"/>
        <v>185243.25223000001</v>
      </c>
      <c r="M42" s="182">
        <f t="shared" si="22"/>
        <v>185086.75936</v>
      </c>
    </row>
    <row r="43" spans="1:15" ht="12.75" customHeight="1" x14ac:dyDescent="0.25">
      <c r="A43" s="176"/>
      <c r="B43" s="177"/>
      <c r="C43" s="205"/>
      <c r="D43" s="204" t="s">
        <v>829</v>
      </c>
      <c r="E43" s="205" t="s">
        <v>939</v>
      </c>
      <c r="F43" s="178"/>
      <c r="G43" s="184">
        <f t="shared" si="16"/>
        <v>37</v>
      </c>
      <c r="H43" s="185">
        <f t="shared" ref="H43:M43" si="23">+H11+H17</f>
        <v>136297.57080000002</v>
      </c>
      <c r="I43" s="186">
        <f t="shared" si="23"/>
        <v>136293.40265999999</v>
      </c>
      <c r="J43" s="185">
        <f t="shared" si="23"/>
        <v>8953.2766999999985</v>
      </c>
      <c r="K43" s="186">
        <f t="shared" si="23"/>
        <v>8953.2766999999985</v>
      </c>
      <c r="L43" s="185">
        <f t="shared" si="23"/>
        <v>145250.8475</v>
      </c>
      <c r="M43" s="187">
        <f t="shared" si="23"/>
        <v>145246.67936000001</v>
      </c>
    </row>
    <row r="44" spans="1:15" ht="12.75" customHeight="1" x14ac:dyDescent="0.25">
      <c r="A44" s="176"/>
      <c r="B44" s="177"/>
      <c r="C44" s="205"/>
      <c r="D44" s="177"/>
      <c r="E44" s="205" t="s">
        <v>940</v>
      </c>
      <c r="F44" s="178"/>
      <c r="G44" s="184">
        <f t="shared" si="16"/>
        <v>38</v>
      </c>
      <c r="H44" s="185">
        <f t="shared" ref="H44:M44" si="24">+H21+H24</f>
        <v>34003.010999999999</v>
      </c>
      <c r="I44" s="186">
        <f t="shared" si="24"/>
        <v>33884.787859999997</v>
      </c>
      <c r="J44" s="185">
        <f t="shared" si="24"/>
        <v>0</v>
      </c>
      <c r="K44" s="186">
        <f t="shared" si="24"/>
        <v>0</v>
      </c>
      <c r="L44" s="185">
        <f t="shared" si="24"/>
        <v>34003.010999999999</v>
      </c>
      <c r="M44" s="187">
        <f t="shared" si="24"/>
        <v>33884.787859999997</v>
      </c>
    </row>
    <row r="45" spans="1:15" ht="12.75" customHeight="1" x14ac:dyDescent="0.25">
      <c r="A45" s="176"/>
      <c r="B45" s="177"/>
      <c r="C45" s="177"/>
      <c r="D45" s="177"/>
      <c r="E45" s="205" t="s">
        <v>941</v>
      </c>
      <c r="F45" s="178"/>
      <c r="G45" s="184">
        <f t="shared" si="16"/>
        <v>39</v>
      </c>
      <c r="H45" s="185">
        <f t="shared" ref="H45:M45" si="25">+H28+H31</f>
        <v>0</v>
      </c>
      <c r="I45" s="186">
        <f t="shared" si="25"/>
        <v>0</v>
      </c>
      <c r="J45" s="185">
        <f t="shared" si="25"/>
        <v>0</v>
      </c>
      <c r="K45" s="186">
        <f t="shared" si="25"/>
        <v>0</v>
      </c>
      <c r="L45" s="185">
        <f t="shared" si="25"/>
        <v>0</v>
      </c>
      <c r="M45" s="187">
        <f t="shared" si="25"/>
        <v>0</v>
      </c>
    </row>
    <row r="46" spans="1:15" ht="12.75" customHeight="1" x14ac:dyDescent="0.25">
      <c r="A46" s="176"/>
      <c r="B46" s="177"/>
      <c r="C46" s="177"/>
      <c r="D46" s="204"/>
      <c r="E46" s="177" t="s">
        <v>942</v>
      </c>
      <c r="F46" s="178"/>
      <c r="G46" s="184">
        <f t="shared" si="16"/>
        <v>40</v>
      </c>
      <c r="H46" s="185">
        <f t="shared" ref="H46:M46" si="26">+H34</f>
        <v>5989.3937299999998</v>
      </c>
      <c r="I46" s="186">
        <f t="shared" si="26"/>
        <v>5955.2921399999996</v>
      </c>
      <c r="J46" s="185">
        <f t="shared" si="26"/>
        <v>0</v>
      </c>
      <c r="K46" s="186">
        <f t="shared" si="26"/>
        <v>0</v>
      </c>
      <c r="L46" s="185">
        <f t="shared" si="26"/>
        <v>5989.3937299999998</v>
      </c>
      <c r="M46" s="187">
        <f t="shared" si="26"/>
        <v>5955.2921399999996</v>
      </c>
    </row>
    <row r="47" spans="1:15" ht="12.75" customHeight="1" x14ac:dyDescent="0.25">
      <c r="A47" s="1215" t="s">
        <v>943</v>
      </c>
      <c r="B47" s="1216"/>
      <c r="C47" s="1216"/>
      <c r="D47" s="1216"/>
      <c r="E47" s="1216"/>
      <c r="F47" s="1217"/>
      <c r="G47" s="206">
        <f t="shared" si="16"/>
        <v>41</v>
      </c>
      <c r="H47" s="207">
        <f t="shared" ref="H47:M47" si="27">+H48+H52</f>
        <v>754624.86632999999</v>
      </c>
      <c r="I47" s="208">
        <f t="shared" si="27"/>
        <v>754387.92876999988</v>
      </c>
      <c r="J47" s="207">
        <f t="shared" si="27"/>
        <v>66942.924679999996</v>
      </c>
      <c r="K47" s="208">
        <f t="shared" si="27"/>
        <v>66942.924679999996</v>
      </c>
      <c r="L47" s="207">
        <f t="shared" si="27"/>
        <v>821567.79100999993</v>
      </c>
      <c r="M47" s="209">
        <f t="shared" si="27"/>
        <v>821330.85344999994</v>
      </c>
    </row>
    <row r="48" spans="1:15" ht="12.75" customHeight="1" x14ac:dyDescent="0.25">
      <c r="A48" s="176"/>
      <c r="B48" s="177"/>
      <c r="C48" s="203" t="s">
        <v>829</v>
      </c>
      <c r="D48" s="177" t="s">
        <v>944</v>
      </c>
      <c r="E48" s="177"/>
      <c r="F48" s="178"/>
      <c r="G48" s="179">
        <f t="shared" si="16"/>
        <v>42</v>
      </c>
      <c r="H48" s="180">
        <f t="shared" ref="H48:M48" si="28">+H49+H50+H51</f>
        <v>578334.89079999994</v>
      </c>
      <c r="I48" s="181">
        <f t="shared" si="28"/>
        <v>578254.4461099999</v>
      </c>
      <c r="J48" s="180">
        <f t="shared" si="28"/>
        <v>57989.647980000002</v>
      </c>
      <c r="K48" s="181">
        <f t="shared" si="28"/>
        <v>57989.647980000002</v>
      </c>
      <c r="L48" s="180">
        <f t="shared" si="28"/>
        <v>636324.53877999994</v>
      </c>
      <c r="M48" s="182">
        <f t="shared" si="28"/>
        <v>636244.09408999991</v>
      </c>
    </row>
    <row r="49" spans="1:13" ht="12.75" customHeight="1" x14ac:dyDescent="0.25">
      <c r="A49" s="176"/>
      <c r="B49" s="177"/>
      <c r="C49" s="177"/>
      <c r="D49" s="204" t="s">
        <v>829</v>
      </c>
      <c r="E49" s="177" t="s">
        <v>982</v>
      </c>
      <c r="F49" s="178"/>
      <c r="G49" s="184">
        <f t="shared" si="16"/>
        <v>43</v>
      </c>
      <c r="H49" s="185">
        <f t="shared" ref="H49:M49" si="29">+H10+H20+H27</f>
        <v>22991.817189999994</v>
      </c>
      <c r="I49" s="186">
        <f t="shared" si="29"/>
        <v>22991.817189999994</v>
      </c>
      <c r="J49" s="185">
        <f t="shared" si="29"/>
        <v>841.64797999999996</v>
      </c>
      <c r="K49" s="186">
        <f t="shared" si="29"/>
        <v>841.64797999999996</v>
      </c>
      <c r="L49" s="185">
        <f t="shared" si="29"/>
        <v>23833.465169999996</v>
      </c>
      <c r="M49" s="187">
        <f t="shared" si="29"/>
        <v>23833.465169999996</v>
      </c>
    </row>
    <row r="50" spans="1:13" ht="12.75" customHeight="1" x14ac:dyDescent="0.25">
      <c r="A50" s="176"/>
      <c r="B50" s="177"/>
      <c r="C50" s="177"/>
      <c r="D50" s="177"/>
      <c r="E50" s="177" t="s">
        <v>945</v>
      </c>
      <c r="F50" s="178"/>
      <c r="G50" s="184">
        <f t="shared" si="16"/>
        <v>44</v>
      </c>
      <c r="H50" s="185">
        <f t="shared" ref="H50:M50" si="30">+H13+H23+H30</f>
        <v>541019.23826000001</v>
      </c>
      <c r="I50" s="186">
        <f t="shared" si="30"/>
        <v>540938.79356999998</v>
      </c>
      <c r="J50" s="185">
        <f t="shared" si="30"/>
        <v>57148</v>
      </c>
      <c r="K50" s="186">
        <f t="shared" si="30"/>
        <v>57148</v>
      </c>
      <c r="L50" s="185">
        <f t="shared" si="30"/>
        <v>598167.23826000001</v>
      </c>
      <c r="M50" s="187">
        <f t="shared" si="30"/>
        <v>598086.79356999998</v>
      </c>
    </row>
    <row r="51" spans="1:13" ht="12.75" customHeight="1" x14ac:dyDescent="0.25">
      <c r="A51" s="176"/>
      <c r="B51" s="177"/>
      <c r="C51" s="177"/>
      <c r="D51" s="204"/>
      <c r="E51" s="177" t="s">
        <v>946</v>
      </c>
      <c r="F51" s="178"/>
      <c r="G51" s="184">
        <f t="shared" si="16"/>
        <v>45</v>
      </c>
      <c r="H51" s="185">
        <f t="shared" ref="H51:M51" si="31">+H33</f>
        <v>14323.835349999999</v>
      </c>
      <c r="I51" s="186">
        <f t="shared" si="31"/>
        <v>14323.835349999999</v>
      </c>
      <c r="J51" s="185">
        <f t="shared" si="31"/>
        <v>0</v>
      </c>
      <c r="K51" s="186">
        <f t="shared" si="31"/>
        <v>0</v>
      </c>
      <c r="L51" s="185">
        <f t="shared" si="31"/>
        <v>14323.835349999999</v>
      </c>
      <c r="M51" s="187">
        <f t="shared" si="31"/>
        <v>14323.835349999999</v>
      </c>
    </row>
    <row r="52" spans="1:13" ht="12.75" customHeight="1" x14ac:dyDescent="0.25">
      <c r="A52" s="176"/>
      <c r="B52" s="177"/>
      <c r="C52" s="205"/>
      <c r="D52" s="177" t="s">
        <v>947</v>
      </c>
      <c r="E52" s="177"/>
      <c r="F52" s="178"/>
      <c r="G52" s="179">
        <f t="shared" si="16"/>
        <v>46</v>
      </c>
      <c r="H52" s="180">
        <f t="shared" ref="H52:M52" si="32">+H53+H54+H55</f>
        <v>176289.97553000003</v>
      </c>
      <c r="I52" s="181">
        <f t="shared" si="32"/>
        <v>176133.48266000001</v>
      </c>
      <c r="J52" s="180">
        <f t="shared" si="32"/>
        <v>8953.2766999999985</v>
      </c>
      <c r="K52" s="181">
        <f t="shared" si="32"/>
        <v>8953.2766999999985</v>
      </c>
      <c r="L52" s="180">
        <f t="shared" si="32"/>
        <v>185243.25223000001</v>
      </c>
      <c r="M52" s="182">
        <f t="shared" si="32"/>
        <v>185086.75936</v>
      </c>
    </row>
    <row r="53" spans="1:13" ht="12.75" customHeight="1" x14ac:dyDescent="0.25">
      <c r="A53" s="176"/>
      <c r="B53" s="177"/>
      <c r="C53" s="205"/>
      <c r="D53" s="204" t="s">
        <v>829</v>
      </c>
      <c r="E53" s="177" t="s">
        <v>983</v>
      </c>
      <c r="F53" s="178"/>
      <c r="G53" s="179">
        <f t="shared" si="16"/>
        <v>47</v>
      </c>
      <c r="H53" s="185">
        <f t="shared" ref="H53:M53" si="33">+H11+H21+H28</f>
        <v>29769.470799999999</v>
      </c>
      <c r="I53" s="186">
        <f t="shared" si="33"/>
        <v>29769.470799999999</v>
      </c>
      <c r="J53" s="185">
        <f t="shared" si="33"/>
        <v>8545.2766999999985</v>
      </c>
      <c r="K53" s="186">
        <f t="shared" si="33"/>
        <v>8545.2766999999985</v>
      </c>
      <c r="L53" s="185">
        <f t="shared" si="33"/>
        <v>38314.747499999998</v>
      </c>
      <c r="M53" s="187">
        <f t="shared" si="33"/>
        <v>38314.747499999998</v>
      </c>
    </row>
    <row r="54" spans="1:13" ht="12.75" customHeight="1" x14ac:dyDescent="0.25">
      <c r="A54" s="176"/>
      <c r="B54" s="177"/>
      <c r="C54" s="205"/>
      <c r="D54" s="177"/>
      <c r="E54" s="177" t="s">
        <v>948</v>
      </c>
      <c r="F54" s="178"/>
      <c r="G54" s="179">
        <f t="shared" si="16"/>
        <v>48</v>
      </c>
      <c r="H54" s="185">
        <f t="shared" ref="H54:M54" si="34">+H17+H24+H31</f>
        <v>140531.111</v>
      </c>
      <c r="I54" s="186">
        <f t="shared" si="34"/>
        <v>140408.71971999999</v>
      </c>
      <c r="J54" s="185">
        <f t="shared" si="34"/>
        <v>408</v>
      </c>
      <c r="K54" s="186">
        <f t="shared" si="34"/>
        <v>408</v>
      </c>
      <c r="L54" s="185">
        <f t="shared" si="34"/>
        <v>140939.111</v>
      </c>
      <c r="M54" s="187">
        <f t="shared" si="34"/>
        <v>140816.71971999999</v>
      </c>
    </row>
    <row r="55" spans="1:13" ht="12.75" customHeight="1" thickBot="1" x14ac:dyDescent="0.3">
      <c r="A55" s="210"/>
      <c r="B55" s="196"/>
      <c r="C55" s="196"/>
      <c r="D55" s="196"/>
      <c r="E55" s="196" t="s">
        <v>949</v>
      </c>
      <c r="F55" s="211"/>
      <c r="G55" s="212">
        <f t="shared" si="16"/>
        <v>49</v>
      </c>
      <c r="H55" s="200">
        <f t="shared" ref="H55:M55" si="35">+H34</f>
        <v>5989.3937299999998</v>
      </c>
      <c r="I55" s="201">
        <f t="shared" si="35"/>
        <v>5955.2921399999996</v>
      </c>
      <c r="J55" s="200">
        <f t="shared" si="35"/>
        <v>0</v>
      </c>
      <c r="K55" s="201">
        <f t="shared" si="35"/>
        <v>0</v>
      </c>
      <c r="L55" s="200">
        <f t="shared" si="35"/>
        <v>5989.3937299999998</v>
      </c>
      <c r="M55" s="202">
        <f t="shared" si="35"/>
        <v>5955.2921399999996</v>
      </c>
    </row>
    <row r="56" spans="1:13" x14ac:dyDescent="0.25">
      <c r="A56" s="149"/>
      <c r="B56" s="149"/>
      <c r="C56" s="149"/>
      <c r="D56" s="149"/>
      <c r="E56" s="149"/>
      <c r="F56" s="149"/>
      <c r="G56" s="151"/>
      <c r="H56" s="149"/>
      <c r="I56" s="149"/>
      <c r="J56" s="149"/>
      <c r="K56" s="149"/>
      <c r="L56" s="149"/>
      <c r="M56" s="149"/>
    </row>
    <row r="57" spans="1:13" x14ac:dyDescent="0.25">
      <c r="A57" s="149" t="s">
        <v>657</v>
      </c>
      <c r="B57" s="149"/>
      <c r="C57" s="149"/>
      <c r="D57" s="150"/>
      <c r="E57" s="150"/>
      <c r="F57" s="149"/>
      <c r="G57" s="151"/>
      <c r="H57" s="149"/>
      <c r="I57" s="149"/>
      <c r="J57" s="149"/>
      <c r="K57" s="149"/>
      <c r="L57" s="149"/>
      <c r="M57" s="149"/>
    </row>
    <row r="58" spans="1:13" ht="30.75" customHeight="1" x14ac:dyDescent="0.25">
      <c r="A58" s="1214" t="s">
        <v>978</v>
      </c>
      <c r="B58" s="1214"/>
      <c r="C58" s="1214"/>
      <c r="D58" s="1214"/>
      <c r="E58" s="1214"/>
      <c r="F58" s="1214"/>
      <c r="G58" s="1214"/>
      <c r="H58" s="1214"/>
      <c r="I58" s="1214"/>
      <c r="J58" s="1214"/>
      <c r="K58" s="1214"/>
      <c r="L58" s="1214"/>
      <c r="M58" s="1214"/>
    </row>
    <row r="59" spans="1:13" ht="42.75" customHeight="1" x14ac:dyDescent="0.25">
      <c r="A59" s="1214" t="s">
        <v>980</v>
      </c>
      <c r="B59" s="1214"/>
      <c r="C59" s="1214"/>
      <c r="D59" s="1214"/>
      <c r="E59" s="1214"/>
      <c r="F59" s="1214"/>
      <c r="G59" s="1214"/>
      <c r="H59" s="1214"/>
      <c r="I59" s="1214"/>
      <c r="J59" s="1214"/>
      <c r="K59" s="1214"/>
      <c r="L59" s="1214"/>
      <c r="M59" s="1214"/>
    </row>
    <row r="60" spans="1:13" ht="17.25" customHeight="1" x14ac:dyDescent="0.25">
      <c r="A60" s="1214" t="s">
        <v>984</v>
      </c>
      <c r="B60" s="1214"/>
      <c r="C60" s="1214"/>
      <c r="D60" s="1214"/>
      <c r="E60" s="1214"/>
      <c r="F60" s="1214"/>
      <c r="G60" s="1214"/>
      <c r="H60" s="1214"/>
      <c r="I60" s="1214"/>
      <c r="J60" s="1214"/>
      <c r="K60" s="1214"/>
      <c r="L60" s="1214"/>
      <c r="M60" s="1214"/>
    </row>
    <row r="61" spans="1:13" ht="15.75" customHeight="1" x14ac:dyDescent="0.25">
      <c r="A61" s="149" t="s">
        <v>903</v>
      </c>
      <c r="B61" s="149"/>
      <c r="C61" s="149"/>
      <c r="D61" s="149"/>
      <c r="E61" s="149"/>
      <c r="F61" s="149"/>
      <c r="G61" s="151"/>
      <c r="H61" s="149"/>
      <c r="I61" s="149"/>
      <c r="J61" s="149"/>
      <c r="K61" s="149"/>
      <c r="L61" s="149"/>
      <c r="M61" s="149"/>
    </row>
    <row r="63" spans="1:13" x14ac:dyDescent="0.25">
      <c r="A63" s="393" t="s">
        <v>1248</v>
      </c>
      <c r="F63" s="720">
        <f>I36</f>
        <v>754387.92876999988</v>
      </c>
      <c r="G63" s="15"/>
      <c r="H63" s="15" t="s">
        <v>742</v>
      </c>
    </row>
    <row r="64" spans="1:13" x14ac:dyDescent="0.25">
      <c r="F64" s="720">
        <f>'2'!D85</f>
        <v>745803.05133000005</v>
      </c>
      <c r="G64" s="15"/>
      <c r="H64" s="15" t="s">
        <v>743</v>
      </c>
    </row>
    <row r="65" spans="1:8" x14ac:dyDescent="0.25">
      <c r="F65" s="899">
        <f>F63-F64</f>
        <v>8584.8774399998365</v>
      </c>
      <c r="G65" s="900" t="s">
        <v>821</v>
      </c>
      <c r="H65" s="393" t="s">
        <v>738</v>
      </c>
    </row>
    <row r="66" spans="1:8" x14ac:dyDescent="0.25">
      <c r="F66" s="720">
        <f>-'5.d'!N47</f>
        <v>0</v>
      </c>
      <c r="G66" s="16" t="s">
        <v>820</v>
      </c>
      <c r="H66" s="15" t="s">
        <v>1239</v>
      </c>
    </row>
    <row r="67" spans="1:8" x14ac:dyDescent="0.25">
      <c r="F67" s="901">
        <f>F65+F66</f>
        <v>8584.8774399998365</v>
      </c>
      <c r="G67" s="902" t="s">
        <v>821</v>
      </c>
      <c r="H67" s="903" t="s">
        <v>738</v>
      </c>
    </row>
    <row r="68" spans="1:8" x14ac:dyDescent="0.25">
      <c r="F68" s="901"/>
      <c r="G68" s="902"/>
      <c r="H68" s="903"/>
    </row>
    <row r="70" spans="1:8" x14ac:dyDescent="0.25">
      <c r="A70" s="393" t="s">
        <v>1250</v>
      </c>
      <c r="F70" s="899">
        <v>57063.129280000001</v>
      </c>
      <c r="G70" s="900"/>
      <c r="H70" s="393" t="s">
        <v>1280</v>
      </c>
    </row>
    <row r="71" spans="1:8" x14ac:dyDescent="0.25">
      <c r="A71" s="393" t="s">
        <v>1279</v>
      </c>
    </row>
    <row r="72" spans="1:8" x14ac:dyDescent="0.25">
      <c r="F72" s="720">
        <f>K36</f>
        <v>66942.924679999996</v>
      </c>
      <c r="G72" s="16" t="s">
        <v>819</v>
      </c>
      <c r="H72" s="15" t="s">
        <v>744</v>
      </c>
    </row>
    <row r="73" spans="1:8" x14ac:dyDescent="0.25">
      <c r="F73" s="720">
        <f>-'5.d'!N48</f>
        <v>0</v>
      </c>
      <c r="G73" s="16" t="s">
        <v>820</v>
      </c>
      <c r="H73" s="15" t="s">
        <v>1245</v>
      </c>
    </row>
    <row r="74" spans="1:8" x14ac:dyDescent="0.25">
      <c r="F74" s="899">
        <f>F72+F73</f>
        <v>66942.924679999996</v>
      </c>
      <c r="G74" s="900"/>
      <c r="H74" s="393" t="s">
        <v>1252</v>
      </c>
    </row>
    <row r="75" spans="1:8" x14ac:dyDescent="0.25">
      <c r="F75" s="720">
        <f>-(402542.5+9290283.34+172456.24)/1000</f>
        <v>-9865.2820800000009</v>
      </c>
      <c r="G75" s="16" t="s">
        <v>820</v>
      </c>
      <c r="H75" s="15" t="s">
        <v>1354</v>
      </c>
    </row>
    <row r="76" spans="1:8" x14ac:dyDescent="0.25">
      <c r="F76" s="720">
        <v>0</v>
      </c>
      <c r="G76" s="16" t="s">
        <v>820</v>
      </c>
      <c r="H76" s="15" t="s">
        <v>1355</v>
      </c>
    </row>
    <row r="77" spans="1:8" x14ac:dyDescent="0.25">
      <c r="F77" s="720">
        <v>-14.51332</v>
      </c>
      <c r="G77" s="16" t="s">
        <v>820</v>
      </c>
      <c r="H77" s="15" t="s">
        <v>1356</v>
      </c>
    </row>
    <row r="78" spans="1:8" x14ac:dyDescent="0.25">
      <c r="F78" s="720">
        <v>0</v>
      </c>
      <c r="G78" s="16" t="s">
        <v>819</v>
      </c>
      <c r="H78" s="15" t="s">
        <v>1362</v>
      </c>
    </row>
    <row r="79" spans="1:8" x14ac:dyDescent="0.25">
      <c r="F79" s="720">
        <v>0</v>
      </c>
      <c r="G79" s="16" t="s">
        <v>819</v>
      </c>
      <c r="H79" s="15" t="s">
        <v>1363</v>
      </c>
    </row>
    <row r="80" spans="1:8" x14ac:dyDescent="0.25">
      <c r="F80" s="1031">
        <v>0</v>
      </c>
      <c r="G80" s="1032" t="s">
        <v>1244</v>
      </c>
      <c r="H80" s="189" t="s">
        <v>1365</v>
      </c>
    </row>
    <row r="81" spans="1:8" x14ac:dyDescent="0.25">
      <c r="F81" s="1031"/>
      <c r="G81" s="1032"/>
      <c r="H81" s="189"/>
    </row>
    <row r="82" spans="1:8" x14ac:dyDescent="0.25">
      <c r="F82" s="904">
        <f>SUM(F74:F80)</f>
        <v>57063.129279999994</v>
      </c>
      <c r="G82" s="905" t="s">
        <v>821</v>
      </c>
      <c r="H82" s="903" t="s">
        <v>1247</v>
      </c>
    </row>
    <row r="83" spans="1:8" x14ac:dyDescent="0.25">
      <c r="F83" s="904">
        <f>F70-F82</f>
        <v>0</v>
      </c>
      <c r="G83" s="905"/>
      <c r="H83" s="906" t="s">
        <v>738</v>
      </c>
    </row>
    <row r="84" spans="1:8" x14ac:dyDescent="0.25">
      <c r="F84" s="904"/>
      <c r="G84" s="905"/>
      <c r="H84" s="906"/>
    </row>
    <row r="85" spans="1:8" x14ac:dyDescent="0.25">
      <c r="F85" s="720"/>
    </row>
    <row r="86" spans="1:8" x14ac:dyDescent="0.25">
      <c r="A86" s="393" t="s">
        <v>1249</v>
      </c>
      <c r="F86" s="720">
        <f>K36</f>
        <v>66942.924679999996</v>
      </c>
      <c r="G86" s="16" t="s">
        <v>819</v>
      </c>
      <c r="H86" s="15" t="s">
        <v>744</v>
      </c>
    </row>
    <row r="87" spans="1:8" x14ac:dyDescent="0.25">
      <c r="A87" s="393" t="s">
        <v>1251</v>
      </c>
      <c r="F87" s="720">
        <f>-'5.d'!N48</f>
        <v>0</v>
      </c>
      <c r="G87" s="16" t="s">
        <v>820</v>
      </c>
      <c r="H87" s="15" t="s">
        <v>1245</v>
      </c>
    </row>
    <row r="88" spans="1:8" x14ac:dyDescent="0.25">
      <c r="F88" s="899">
        <f>F86+F87</f>
        <v>66942.924679999996</v>
      </c>
      <c r="G88" s="900" t="s">
        <v>821</v>
      </c>
      <c r="H88" s="393" t="s">
        <v>1247</v>
      </c>
    </row>
    <row r="89" spans="1:8" x14ac:dyDescent="0.25">
      <c r="F89" s="899"/>
      <c r="G89" s="900"/>
      <c r="H89" s="393"/>
    </row>
    <row r="90" spans="1:8" x14ac:dyDescent="0.25">
      <c r="F90" s="720">
        <v>66942.924679999996</v>
      </c>
      <c r="G90" s="16" t="s">
        <v>820</v>
      </c>
      <c r="H90" s="15" t="s">
        <v>1357</v>
      </c>
    </row>
    <row r="91" spans="1:8" x14ac:dyDescent="0.25">
      <c r="F91" s="720">
        <v>0</v>
      </c>
      <c r="G91" s="16" t="s">
        <v>820</v>
      </c>
      <c r="H91" s="15" t="s">
        <v>1358</v>
      </c>
    </row>
    <row r="92" spans="1:8" x14ac:dyDescent="0.25">
      <c r="F92" s="899">
        <f>F90+F91</f>
        <v>66942.924679999996</v>
      </c>
      <c r="G92" s="900" t="s">
        <v>821</v>
      </c>
      <c r="H92" s="393" t="s">
        <v>1246</v>
      </c>
    </row>
    <row r="93" spans="1:8" x14ac:dyDescent="0.25">
      <c r="F93" s="720">
        <v>0</v>
      </c>
      <c r="G93" s="16" t="s">
        <v>1244</v>
      </c>
      <c r="H93" s="15" t="s">
        <v>1360</v>
      </c>
    </row>
    <row r="94" spans="1:8" x14ac:dyDescent="0.25">
      <c r="F94" s="720"/>
      <c r="H94" s="15" t="s">
        <v>1359</v>
      </c>
    </row>
    <row r="95" spans="1:8" x14ac:dyDescent="0.25">
      <c r="F95" s="720">
        <v>0</v>
      </c>
      <c r="G95" s="16" t="s">
        <v>820</v>
      </c>
      <c r="H95" s="15" t="s">
        <v>1361</v>
      </c>
    </row>
    <row r="96" spans="1:8" x14ac:dyDescent="0.25">
      <c r="F96" s="720">
        <v>0</v>
      </c>
      <c r="G96" s="16" t="s">
        <v>820</v>
      </c>
      <c r="H96" s="15" t="s">
        <v>1364</v>
      </c>
    </row>
    <row r="97" spans="6:8" x14ac:dyDescent="0.25">
      <c r="F97" s="720">
        <v>0</v>
      </c>
      <c r="G97" s="16" t="s">
        <v>820</v>
      </c>
      <c r="H97" s="15" t="s">
        <v>1353</v>
      </c>
    </row>
    <row r="98" spans="6:8" x14ac:dyDescent="0.25">
      <c r="F98" s="899">
        <f>SUM(F92:F97)</f>
        <v>66942.924679999996</v>
      </c>
      <c r="G98" s="900" t="s">
        <v>821</v>
      </c>
      <c r="H98" s="393" t="s">
        <v>1247</v>
      </c>
    </row>
    <row r="99" spans="6:8" x14ac:dyDescent="0.25">
      <c r="F99" s="904">
        <f>F88-F98</f>
        <v>0</v>
      </c>
      <c r="G99" s="905"/>
      <c r="H99" s="906" t="s">
        <v>738</v>
      </c>
    </row>
  </sheetData>
  <mergeCells count="13">
    <mergeCell ref="B32:F32"/>
    <mergeCell ref="A58:M58"/>
    <mergeCell ref="A59:M59"/>
    <mergeCell ref="A60:M60"/>
    <mergeCell ref="A47:F47"/>
    <mergeCell ref="A36:F36"/>
    <mergeCell ref="L3:M3"/>
    <mergeCell ref="B7:F7"/>
    <mergeCell ref="A6:F6"/>
    <mergeCell ref="A3:F5"/>
    <mergeCell ref="G3:G5"/>
    <mergeCell ref="H3:I3"/>
    <mergeCell ref="J3:K3"/>
  </mergeCells>
  <phoneticPr fontId="15" type="noConversion"/>
  <pageMargins left="0.39370078740157483" right="0.39370078740157483" top="0.39370078740157483" bottom="0.39370078740157483" header="0" footer="0.15748031496062992"/>
  <pageSetup paperSize="9" scale="59" orientation="portrait" r:id="rId1"/>
  <headerFooter alignWithMargins="0">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50"/>
  <sheetViews>
    <sheetView zoomScale="89" zoomScaleNormal="89" workbookViewId="0"/>
  </sheetViews>
  <sheetFormatPr defaultColWidth="10.5703125" defaultRowHeight="15" x14ac:dyDescent="0.25"/>
  <cols>
    <col min="1" max="1" width="4.28515625" style="55" customWidth="1"/>
    <col min="2" max="2" width="6.7109375" style="55" customWidth="1"/>
    <col min="3" max="3" width="49.42578125" style="55" customWidth="1"/>
    <col min="4" max="4" width="12.28515625" style="55" customWidth="1"/>
    <col min="5" max="6" width="10.85546875" style="55" customWidth="1"/>
    <col min="7" max="8" width="11.28515625" style="55" customWidth="1"/>
    <col min="9" max="9" width="11.5703125" style="55" customWidth="1"/>
    <col min="10" max="10" width="9.7109375" style="55" customWidth="1"/>
    <col min="11" max="11" width="10" style="55" customWidth="1"/>
    <col min="12" max="12" width="10.140625" style="55" customWidth="1"/>
    <col min="13" max="13" width="13.7109375" style="55" customWidth="1"/>
    <col min="14" max="14" width="1.7109375" style="55" customWidth="1"/>
    <col min="15" max="15" width="11.28515625" style="55" customWidth="1"/>
    <col min="16" max="16" width="12" style="55" customWidth="1"/>
    <col min="17" max="242" width="9.140625" style="55" customWidth="1"/>
    <col min="243" max="243" width="59.7109375" style="55" customWidth="1"/>
    <col min="244" max="16384" width="10.5703125" style="55"/>
  </cols>
  <sheetData>
    <row r="1" spans="1:17" ht="15.75" x14ac:dyDescent="0.25">
      <c r="A1" s="110" t="s">
        <v>1335</v>
      </c>
      <c r="P1" s="859" t="s">
        <v>1235</v>
      </c>
    </row>
    <row r="2" spans="1:17" ht="15.75" x14ac:dyDescent="0.25">
      <c r="A2" s="110"/>
      <c r="C2" s="213" t="s">
        <v>996</v>
      </c>
    </row>
    <row r="3" spans="1:17" ht="13.5" customHeight="1" thickBot="1" x14ac:dyDescent="0.3">
      <c r="P3" s="112" t="s">
        <v>517</v>
      </c>
    </row>
    <row r="4" spans="1:17" ht="39" customHeight="1" x14ac:dyDescent="0.25">
      <c r="A4" s="1224" t="s">
        <v>497</v>
      </c>
      <c r="B4" s="1229" t="s">
        <v>859</v>
      </c>
      <c r="C4" s="1230"/>
      <c r="D4" s="1241" t="s">
        <v>797</v>
      </c>
      <c r="E4" s="1240"/>
      <c r="F4" s="1240" t="s">
        <v>798</v>
      </c>
      <c r="G4" s="1240"/>
      <c r="H4" s="1240" t="s">
        <v>799</v>
      </c>
      <c r="I4" s="1240"/>
      <c r="J4" s="1237" t="s">
        <v>1201</v>
      </c>
      <c r="K4" s="1238"/>
      <c r="L4" s="1239"/>
      <c r="M4" s="1235" t="s">
        <v>823</v>
      </c>
      <c r="N4" s="213"/>
      <c r="O4" s="1220" t="s">
        <v>1199</v>
      </c>
      <c r="P4" s="1218" t="s">
        <v>800</v>
      </c>
    </row>
    <row r="5" spans="1:17" ht="13.5" customHeight="1" x14ac:dyDescent="0.25">
      <c r="A5" s="1225"/>
      <c r="B5" s="1231"/>
      <c r="C5" s="1232"/>
      <c r="D5" s="214" t="s">
        <v>860</v>
      </c>
      <c r="E5" s="215" t="s">
        <v>861</v>
      </c>
      <c r="F5" s="216" t="s">
        <v>659</v>
      </c>
      <c r="G5" s="215" t="s">
        <v>664</v>
      </c>
      <c r="H5" s="216" t="s">
        <v>659</v>
      </c>
      <c r="I5" s="215" t="s">
        <v>664</v>
      </c>
      <c r="J5" s="217" t="s">
        <v>837</v>
      </c>
      <c r="K5" s="217" t="s">
        <v>838</v>
      </c>
      <c r="L5" s="217" t="s">
        <v>839</v>
      </c>
      <c r="M5" s="1236"/>
      <c r="N5" s="213"/>
      <c r="O5" s="1221"/>
      <c r="P5" s="1219"/>
    </row>
    <row r="6" spans="1:17" ht="15" customHeight="1" thickBot="1" x14ac:dyDescent="0.3">
      <c r="A6" s="1226"/>
      <c r="B6" s="1233"/>
      <c r="C6" s="1234"/>
      <c r="D6" s="218" t="s">
        <v>577</v>
      </c>
      <c r="E6" s="219" t="s">
        <v>578</v>
      </c>
      <c r="F6" s="219" t="s">
        <v>579</v>
      </c>
      <c r="G6" s="219" t="s">
        <v>580</v>
      </c>
      <c r="H6" s="219" t="s">
        <v>661</v>
      </c>
      <c r="I6" s="219" t="s">
        <v>662</v>
      </c>
      <c r="J6" s="220" t="s">
        <v>583</v>
      </c>
      <c r="K6" s="221" t="s">
        <v>584</v>
      </c>
      <c r="L6" s="221" t="s">
        <v>585</v>
      </c>
      <c r="M6" s="222" t="s">
        <v>950</v>
      </c>
      <c r="N6" s="213"/>
      <c r="O6" s="223" t="s">
        <v>629</v>
      </c>
      <c r="P6" s="222" t="s">
        <v>840</v>
      </c>
    </row>
    <row r="7" spans="1:17" s="228" customFormat="1" ht="16.5" customHeight="1" x14ac:dyDescent="0.25">
      <c r="A7" s="224">
        <f t="shared" ref="A7:A34" si="0">+A6+1</f>
        <v>1</v>
      </c>
      <c r="B7" s="225" t="s">
        <v>663</v>
      </c>
      <c r="C7" s="226"/>
      <c r="D7" s="282">
        <f t="shared" ref="D7:M7" si="1">+D8+D18</f>
        <v>523761.95600000006</v>
      </c>
      <c r="E7" s="282">
        <f t="shared" si="1"/>
        <v>523761.13500000007</v>
      </c>
      <c r="F7" s="282">
        <f t="shared" si="1"/>
        <v>29830</v>
      </c>
      <c r="G7" s="282">
        <f t="shared" si="1"/>
        <v>29830</v>
      </c>
      <c r="H7" s="282">
        <f t="shared" si="1"/>
        <v>553591.95600000001</v>
      </c>
      <c r="I7" s="282">
        <f t="shared" si="1"/>
        <v>553591.13500000001</v>
      </c>
      <c r="J7" s="282">
        <f t="shared" si="1"/>
        <v>9865.2820699999993</v>
      </c>
      <c r="K7" s="282">
        <f t="shared" si="1"/>
        <v>35775.599889999998</v>
      </c>
      <c r="L7" s="282">
        <f t="shared" si="1"/>
        <v>0</v>
      </c>
      <c r="M7" s="284">
        <f t="shared" si="1"/>
        <v>0.82100000000001216</v>
      </c>
      <c r="N7" s="227"/>
      <c r="O7" s="778">
        <f>+O8+O18</f>
        <v>31154.000000000004</v>
      </c>
      <c r="P7" s="779">
        <f>+P8+P18</f>
        <v>584745.13500000001</v>
      </c>
    </row>
    <row r="8" spans="1:17" s="213" customFormat="1" ht="14.25" customHeight="1" x14ac:dyDescent="0.25">
      <c r="A8" s="229">
        <f t="shared" si="0"/>
        <v>2</v>
      </c>
      <c r="B8" s="1227" t="s">
        <v>966</v>
      </c>
      <c r="C8" s="1228"/>
      <c r="D8" s="231">
        <f t="shared" ref="D8:M8" si="2">SUM(D9:D17)</f>
        <v>521976.19000000006</v>
      </c>
      <c r="E8" s="231">
        <f t="shared" si="2"/>
        <v>521976.19000000006</v>
      </c>
      <c r="F8" s="231">
        <f t="shared" si="2"/>
        <v>29230</v>
      </c>
      <c r="G8" s="231">
        <f t="shared" si="2"/>
        <v>29230</v>
      </c>
      <c r="H8" s="231">
        <f t="shared" si="2"/>
        <v>551206.19000000006</v>
      </c>
      <c r="I8" s="231">
        <f t="shared" si="2"/>
        <v>551206.19000000006</v>
      </c>
      <c r="J8" s="231">
        <f t="shared" si="2"/>
        <v>9865.2820699999993</v>
      </c>
      <c r="K8" s="231">
        <f t="shared" si="2"/>
        <v>35775.599889999998</v>
      </c>
      <c r="L8" s="231">
        <f t="shared" si="2"/>
        <v>0</v>
      </c>
      <c r="M8" s="232">
        <f t="shared" si="2"/>
        <v>0</v>
      </c>
      <c r="N8" s="233"/>
      <c r="O8" s="234">
        <f>SUM(O9:O17)</f>
        <v>31154.000000000004</v>
      </c>
      <c r="P8" s="232">
        <f>SUM(P9:P17)</f>
        <v>582360.19000000006</v>
      </c>
    </row>
    <row r="9" spans="1:17" ht="12.75" customHeight="1" x14ac:dyDescent="0.25">
      <c r="A9" s="214">
        <f t="shared" si="0"/>
        <v>3</v>
      </c>
      <c r="B9" s="235" t="s">
        <v>858</v>
      </c>
      <c r="C9" s="236" t="s">
        <v>1038</v>
      </c>
      <c r="D9" s="237">
        <v>441178.21500000003</v>
      </c>
      <c r="E9" s="237">
        <f t="shared" ref="E9:E15" si="3">D9</f>
        <v>441178.21500000003</v>
      </c>
      <c r="F9" s="237">
        <v>25600</v>
      </c>
      <c r="G9" s="237">
        <f>F9</f>
        <v>25600</v>
      </c>
      <c r="H9" s="237">
        <f t="shared" ref="H9:I17" si="4">+D9+F9</f>
        <v>466778.21500000003</v>
      </c>
      <c r="I9" s="237">
        <f t="shared" si="4"/>
        <v>466778.21500000003</v>
      </c>
      <c r="J9" s="237">
        <f>9865.28207</f>
        <v>9865.2820699999993</v>
      </c>
      <c r="K9" s="237">
        <f>13957.917+2179.298+621.84459+15838.98039</f>
        <v>32598.039980000001</v>
      </c>
      <c r="L9" s="238"/>
      <c r="M9" s="239">
        <f t="shared" ref="M9:M17" si="5">+H9-I9</f>
        <v>0</v>
      </c>
      <c r="N9" s="128"/>
      <c r="O9" s="240">
        <f>23262.6048+450.57641+14880.78003/2+0.428775</f>
        <v>31154.000000000004</v>
      </c>
      <c r="P9" s="239">
        <f t="shared" ref="P9:P17" si="6">+I9+O9</f>
        <v>497932.21500000003</v>
      </c>
    </row>
    <row r="10" spans="1:17" ht="12.75" customHeight="1" x14ac:dyDescent="0.25">
      <c r="A10" s="214">
        <f>A9+1</f>
        <v>4</v>
      </c>
      <c r="B10" s="235" t="s">
        <v>841</v>
      </c>
      <c r="C10" s="236" t="s">
        <v>842</v>
      </c>
      <c r="D10" s="237">
        <v>18180</v>
      </c>
      <c r="E10" s="237">
        <f t="shared" si="3"/>
        <v>18180</v>
      </c>
      <c r="F10" s="238"/>
      <c r="G10" s="238"/>
      <c r="H10" s="237">
        <f t="shared" si="4"/>
        <v>18180</v>
      </c>
      <c r="I10" s="237">
        <f t="shared" si="4"/>
        <v>18180</v>
      </c>
      <c r="J10" s="238"/>
      <c r="K10" s="237">
        <v>57.1</v>
      </c>
      <c r="L10" s="238"/>
      <c r="M10" s="239">
        <f t="shared" si="5"/>
        <v>0</v>
      </c>
      <c r="N10" s="128"/>
      <c r="O10" s="240">
        <v>0</v>
      </c>
      <c r="P10" s="239">
        <f t="shared" si="6"/>
        <v>18180</v>
      </c>
    </row>
    <row r="11" spans="1:17" ht="12.75" customHeight="1" x14ac:dyDescent="0.25">
      <c r="A11" s="214">
        <f t="shared" si="0"/>
        <v>5</v>
      </c>
      <c r="B11" s="241" t="s">
        <v>843</v>
      </c>
      <c r="C11" s="242" t="s">
        <v>844</v>
      </c>
      <c r="D11" s="237">
        <v>10258</v>
      </c>
      <c r="E11" s="237">
        <f t="shared" si="3"/>
        <v>10258</v>
      </c>
      <c r="F11" s="238"/>
      <c r="G11" s="238"/>
      <c r="H11" s="237">
        <f t="shared" si="4"/>
        <v>10258</v>
      </c>
      <c r="I11" s="237">
        <f t="shared" si="4"/>
        <v>10258</v>
      </c>
      <c r="J11" s="238"/>
      <c r="K11" s="237">
        <v>2816.1061</v>
      </c>
      <c r="L11" s="238"/>
      <c r="M11" s="239">
        <f t="shared" si="5"/>
        <v>0</v>
      </c>
      <c r="N11" s="128"/>
      <c r="O11" s="240">
        <v>0</v>
      </c>
      <c r="P11" s="239">
        <f t="shared" si="6"/>
        <v>10258</v>
      </c>
    </row>
    <row r="12" spans="1:17" ht="13.5" customHeight="1" x14ac:dyDescent="0.25">
      <c r="A12" s="214">
        <f t="shared" si="0"/>
        <v>6</v>
      </c>
      <c r="B12" s="235" t="s">
        <v>845</v>
      </c>
      <c r="C12" s="236" t="s">
        <v>846</v>
      </c>
      <c r="D12" s="237">
        <f>1836+(265+3124)+792</f>
        <v>6017</v>
      </c>
      <c r="E12" s="237">
        <f t="shared" si="3"/>
        <v>6017</v>
      </c>
      <c r="F12" s="237">
        <v>0</v>
      </c>
      <c r="G12" s="237">
        <f>F12</f>
        <v>0</v>
      </c>
      <c r="H12" s="237">
        <f t="shared" si="4"/>
        <v>6017</v>
      </c>
      <c r="I12" s="237">
        <f t="shared" si="4"/>
        <v>6017</v>
      </c>
      <c r="J12" s="237">
        <v>0</v>
      </c>
      <c r="K12" s="237">
        <f>203.08981+0+55</f>
        <v>258.08981</v>
      </c>
      <c r="L12" s="238"/>
      <c r="M12" s="239">
        <f t="shared" si="5"/>
        <v>0</v>
      </c>
      <c r="N12" s="128"/>
      <c r="O12" s="240">
        <v>0</v>
      </c>
      <c r="P12" s="239">
        <f t="shared" si="6"/>
        <v>6017</v>
      </c>
    </row>
    <row r="13" spans="1:17" ht="13.5" customHeight="1" x14ac:dyDescent="0.25">
      <c r="A13" s="916">
        <f t="shared" si="0"/>
        <v>7</v>
      </c>
      <c r="B13" s="917" t="s">
        <v>855</v>
      </c>
      <c r="C13" s="918" t="s">
        <v>1268</v>
      </c>
      <c r="D13" s="919">
        <v>23694</v>
      </c>
      <c r="E13" s="919">
        <f>D13</f>
        <v>23694</v>
      </c>
      <c r="F13" s="919">
        <v>3630</v>
      </c>
      <c r="G13" s="919">
        <f>F13</f>
        <v>3630</v>
      </c>
      <c r="H13" s="919">
        <f>+D13+F13</f>
        <v>27324</v>
      </c>
      <c r="I13" s="919">
        <f>+E13+G13</f>
        <v>27324</v>
      </c>
      <c r="J13" s="919">
        <v>0</v>
      </c>
      <c r="K13" s="919">
        <v>0</v>
      </c>
      <c r="L13" s="920"/>
      <c r="M13" s="921">
        <f>+H13-I13</f>
        <v>0</v>
      </c>
      <c r="N13" s="922"/>
      <c r="O13" s="923">
        <v>0</v>
      </c>
      <c r="P13" s="921">
        <f>+I13+O13</f>
        <v>27324</v>
      </c>
      <c r="Q13" s="924"/>
    </row>
    <row r="14" spans="1:17" ht="12.75" customHeight="1" x14ac:dyDescent="0.25">
      <c r="A14" s="214">
        <f t="shared" si="0"/>
        <v>8</v>
      </c>
      <c r="B14" s="235" t="s">
        <v>847</v>
      </c>
      <c r="C14" s="236" t="s">
        <v>848</v>
      </c>
      <c r="D14" s="237">
        <v>0</v>
      </c>
      <c r="E14" s="237">
        <f t="shared" si="3"/>
        <v>0</v>
      </c>
      <c r="F14" s="237">
        <v>0</v>
      </c>
      <c r="G14" s="237">
        <f>F14</f>
        <v>0</v>
      </c>
      <c r="H14" s="237">
        <f t="shared" si="4"/>
        <v>0</v>
      </c>
      <c r="I14" s="237">
        <f t="shared" si="4"/>
        <v>0</v>
      </c>
      <c r="J14" s="237">
        <v>0</v>
      </c>
      <c r="K14" s="237">
        <v>0</v>
      </c>
      <c r="L14" s="238"/>
      <c r="M14" s="239">
        <f t="shared" si="5"/>
        <v>0</v>
      </c>
      <c r="N14" s="128"/>
      <c r="O14" s="240">
        <v>0</v>
      </c>
      <c r="P14" s="239">
        <f t="shared" si="6"/>
        <v>0</v>
      </c>
    </row>
    <row r="15" spans="1:17" ht="12.75" customHeight="1" x14ac:dyDescent="0.25">
      <c r="A15" s="214">
        <f t="shared" si="0"/>
        <v>9</v>
      </c>
      <c r="B15" s="235" t="s">
        <v>849</v>
      </c>
      <c r="C15" s="243" t="s">
        <v>850</v>
      </c>
      <c r="D15" s="237">
        <v>1846.1990000000001</v>
      </c>
      <c r="E15" s="237">
        <f t="shared" si="3"/>
        <v>1846.1990000000001</v>
      </c>
      <c r="F15" s="238"/>
      <c r="G15" s="238"/>
      <c r="H15" s="237">
        <f t="shared" si="4"/>
        <v>1846.1990000000001</v>
      </c>
      <c r="I15" s="237">
        <f t="shared" si="4"/>
        <v>1846.1990000000001</v>
      </c>
      <c r="J15" s="238"/>
      <c r="K15" s="237">
        <v>36.658999999999999</v>
      </c>
      <c r="L15" s="238"/>
      <c r="M15" s="239">
        <f t="shared" si="5"/>
        <v>0</v>
      </c>
      <c r="N15" s="128"/>
      <c r="O15" s="240">
        <v>0</v>
      </c>
      <c r="P15" s="239">
        <f t="shared" si="6"/>
        <v>1846.1990000000001</v>
      </c>
    </row>
    <row r="16" spans="1:17" ht="12.75" customHeight="1" x14ac:dyDescent="0.25">
      <c r="A16" s="214">
        <f>+A15+1</f>
        <v>10</v>
      </c>
      <c r="B16" s="111" t="s">
        <v>851</v>
      </c>
      <c r="C16" s="244" t="s">
        <v>852</v>
      </c>
      <c r="D16" s="237">
        <v>20698</v>
      </c>
      <c r="E16" s="237">
        <f>D16</f>
        <v>20698</v>
      </c>
      <c r="F16" s="238"/>
      <c r="G16" s="238"/>
      <c r="H16" s="237">
        <f>+D16+F16</f>
        <v>20698</v>
      </c>
      <c r="I16" s="237">
        <f>+E16+G16</f>
        <v>20698</v>
      </c>
      <c r="J16" s="238"/>
      <c r="K16" s="237">
        <v>1.605</v>
      </c>
      <c r="L16" s="238"/>
      <c r="M16" s="239">
        <f>+H16-I16</f>
        <v>0</v>
      </c>
      <c r="N16" s="128"/>
      <c r="O16" s="240">
        <v>0</v>
      </c>
      <c r="P16" s="239">
        <f>+I16+O16</f>
        <v>20698</v>
      </c>
    </row>
    <row r="17" spans="1:17" ht="12.75" customHeight="1" x14ac:dyDescent="0.25">
      <c r="A17" s="929">
        <f>A16+1</f>
        <v>11</v>
      </c>
      <c r="B17" s="927"/>
      <c r="C17" s="928" t="s">
        <v>735</v>
      </c>
      <c r="D17" s="919">
        <f>49+55.776</f>
        <v>104.77600000000001</v>
      </c>
      <c r="E17" s="919">
        <f>D17</f>
        <v>104.77600000000001</v>
      </c>
      <c r="F17" s="920"/>
      <c r="G17" s="920"/>
      <c r="H17" s="919">
        <f t="shared" si="4"/>
        <v>104.77600000000001</v>
      </c>
      <c r="I17" s="919">
        <f t="shared" si="4"/>
        <v>104.77600000000001</v>
      </c>
      <c r="J17" s="920"/>
      <c r="K17" s="919">
        <v>8</v>
      </c>
      <c r="L17" s="920"/>
      <c r="M17" s="921">
        <f t="shared" si="5"/>
        <v>0</v>
      </c>
      <c r="N17" s="922"/>
      <c r="O17" s="923">
        <v>0</v>
      </c>
      <c r="P17" s="921">
        <f t="shared" si="6"/>
        <v>104.77600000000001</v>
      </c>
    </row>
    <row r="18" spans="1:17" s="213" customFormat="1" ht="12.75" customHeight="1" x14ac:dyDescent="0.25">
      <c r="A18" s="229">
        <f>A17+1</f>
        <v>12</v>
      </c>
      <c r="B18" s="1222" t="s">
        <v>967</v>
      </c>
      <c r="C18" s="1223"/>
      <c r="D18" s="231">
        <f>SUM(D19:D25)</f>
        <v>1785.7660000000001</v>
      </c>
      <c r="E18" s="231">
        <f t="shared" ref="E18:P18" si="7">SUM(E19:E25)</f>
        <v>1784.9449999999999</v>
      </c>
      <c r="F18" s="231">
        <f t="shared" si="7"/>
        <v>600</v>
      </c>
      <c r="G18" s="231">
        <f t="shared" si="7"/>
        <v>600</v>
      </c>
      <c r="H18" s="231">
        <f t="shared" si="7"/>
        <v>2385.7660000000001</v>
      </c>
      <c r="I18" s="231">
        <f t="shared" si="7"/>
        <v>2384.9450000000002</v>
      </c>
      <c r="J18" s="231">
        <f t="shared" si="7"/>
        <v>0</v>
      </c>
      <c r="K18" s="231">
        <f t="shared" si="7"/>
        <v>0</v>
      </c>
      <c r="L18" s="231">
        <f t="shared" si="7"/>
        <v>0</v>
      </c>
      <c r="M18" s="232">
        <f t="shared" si="7"/>
        <v>0.82100000000001216</v>
      </c>
      <c r="N18" s="233"/>
      <c r="O18" s="234">
        <f t="shared" si="7"/>
        <v>0</v>
      </c>
      <c r="P18" s="232">
        <f t="shared" si="7"/>
        <v>2384.9450000000002</v>
      </c>
    </row>
    <row r="19" spans="1:17" s="213" customFormat="1" ht="12.75" customHeight="1" x14ac:dyDescent="0.25">
      <c r="A19" s="246">
        <f>A18+1</f>
        <v>13</v>
      </c>
      <c r="B19" s="241" t="s">
        <v>843</v>
      </c>
      <c r="C19" s="242" t="s">
        <v>844</v>
      </c>
      <c r="D19" s="237">
        <v>154.36600000000001</v>
      </c>
      <c r="E19" s="237">
        <f>D19</f>
        <v>154.36600000000001</v>
      </c>
      <c r="F19" s="238"/>
      <c r="G19" s="238"/>
      <c r="H19" s="237">
        <f t="shared" ref="H19:I25" si="8">+D19+F19</f>
        <v>154.36600000000001</v>
      </c>
      <c r="I19" s="237">
        <f t="shared" si="8"/>
        <v>154.36600000000001</v>
      </c>
      <c r="J19" s="238"/>
      <c r="K19" s="238"/>
      <c r="L19" s="237">
        <f>0+0+0+0</f>
        <v>0</v>
      </c>
      <c r="M19" s="239">
        <f t="shared" ref="M19:M25" si="9">+H19-I19</f>
        <v>0</v>
      </c>
      <c r="N19" s="128"/>
      <c r="O19" s="240">
        <v>0</v>
      </c>
      <c r="P19" s="239">
        <f t="shared" ref="P19:P25" si="10">+I19+O19</f>
        <v>154.36600000000001</v>
      </c>
    </row>
    <row r="20" spans="1:17" ht="12.75" customHeight="1" x14ac:dyDescent="0.25">
      <c r="A20" s="214">
        <f>A19+1</f>
        <v>14</v>
      </c>
      <c r="B20" s="235" t="s">
        <v>845</v>
      </c>
      <c r="C20" s="236" t="s">
        <v>846</v>
      </c>
      <c r="D20" s="237">
        <v>0</v>
      </c>
      <c r="E20" s="237">
        <v>0</v>
      </c>
      <c r="F20" s="237">
        <v>0</v>
      </c>
      <c r="G20" s="237">
        <v>0</v>
      </c>
      <c r="H20" s="237">
        <f t="shared" si="8"/>
        <v>0</v>
      </c>
      <c r="I20" s="237">
        <f t="shared" si="8"/>
        <v>0</v>
      </c>
      <c r="J20" s="238"/>
      <c r="K20" s="238"/>
      <c r="L20" s="238"/>
      <c r="M20" s="239">
        <f t="shared" si="9"/>
        <v>0</v>
      </c>
      <c r="N20" s="128"/>
      <c r="O20" s="240">
        <v>0</v>
      </c>
      <c r="P20" s="239">
        <f t="shared" si="10"/>
        <v>0</v>
      </c>
    </row>
    <row r="21" spans="1:17" ht="12.75" customHeight="1" x14ac:dyDescent="0.25">
      <c r="A21" s="214">
        <f t="shared" si="0"/>
        <v>15</v>
      </c>
      <c r="B21" s="235" t="s">
        <v>853</v>
      </c>
      <c r="C21" s="236" t="s">
        <v>854</v>
      </c>
      <c r="D21" s="237">
        <v>0</v>
      </c>
      <c r="E21" s="237">
        <f>D21</f>
        <v>0</v>
      </c>
      <c r="F21" s="237">
        <v>0</v>
      </c>
      <c r="G21" s="237">
        <f>F21</f>
        <v>0</v>
      </c>
      <c r="H21" s="237">
        <f t="shared" si="8"/>
        <v>0</v>
      </c>
      <c r="I21" s="237">
        <f t="shared" si="8"/>
        <v>0</v>
      </c>
      <c r="J21" s="238"/>
      <c r="K21" s="238"/>
      <c r="L21" s="238"/>
      <c r="M21" s="239">
        <f t="shared" si="9"/>
        <v>0</v>
      </c>
      <c r="N21" s="128"/>
      <c r="O21" s="240">
        <v>0</v>
      </c>
      <c r="P21" s="239">
        <f t="shared" si="10"/>
        <v>0</v>
      </c>
    </row>
    <row r="22" spans="1:17" ht="12.75" customHeight="1" x14ac:dyDescent="0.25">
      <c r="A22" s="214">
        <f t="shared" si="0"/>
        <v>16</v>
      </c>
      <c r="B22" s="917" t="s">
        <v>855</v>
      </c>
      <c r="C22" s="918" t="s">
        <v>1269</v>
      </c>
      <c r="D22" s="919">
        <v>206</v>
      </c>
      <c r="E22" s="919">
        <f>D22</f>
        <v>206</v>
      </c>
      <c r="F22" s="919">
        <v>600</v>
      </c>
      <c r="G22" s="919">
        <f>F22</f>
        <v>600</v>
      </c>
      <c r="H22" s="919">
        <f t="shared" si="8"/>
        <v>806</v>
      </c>
      <c r="I22" s="919">
        <f t="shared" si="8"/>
        <v>806</v>
      </c>
      <c r="J22" s="920"/>
      <c r="K22" s="920"/>
      <c r="L22" s="920"/>
      <c r="M22" s="921">
        <f t="shared" si="9"/>
        <v>0</v>
      </c>
      <c r="N22" s="922"/>
      <c r="O22" s="923">
        <v>0</v>
      </c>
      <c r="P22" s="921">
        <f t="shared" si="10"/>
        <v>806</v>
      </c>
      <c r="Q22" s="924"/>
    </row>
    <row r="23" spans="1:17" ht="12.75" customHeight="1" x14ac:dyDescent="0.25">
      <c r="A23" s="214">
        <f t="shared" si="0"/>
        <v>17</v>
      </c>
      <c r="B23" s="235" t="s">
        <v>856</v>
      </c>
      <c r="C23" s="236" t="s">
        <v>857</v>
      </c>
      <c r="D23" s="237">
        <v>1304</v>
      </c>
      <c r="E23" s="237">
        <f>D23</f>
        <v>1304</v>
      </c>
      <c r="F23" s="238"/>
      <c r="G23" s="238"/>
      <c r="H23" s="237">
        <f t="shared" si="8"/>
        <v>1304</v>
      </c>
      <c r="I23" s="237">
        <f t="shared" si="8"/>
        <v>1304</v>
      </c>
      <c r="J23" s="238"/>
      <c r="K23" s="238"/>
      <c r="L23" s="238"/>
      <c r="M23" s="239">
        <f t="shared" si="9"/>
        <v>0</v>
      </c>
      <c r="N23" s="128"/>
      <c r="O23" s="240">
        <v>0</v>
      </c>
      <c r="P23" s="239">
        <f t="shared" si="10"/>
        <v>1304</v>
      </c>
    </row>
    <row r="24" spans="1:17" ht="12.75" customHeight="1" x14ac:dyDescent="0.25">
      <c r="A24" s="214">
        <f t="shared" si="0"/>
        <v>18</v>
      </c>
      <c r="B24" s="111" t="s">
        <v>847</v>
      </c>
      <c r="C24" s="244" t="s">
        <v>848</v>
      </c>
      <c r="D24" s="237">
        <v>0</v>
      </c>
      <c r="E24" s="237">
        <v>0</v>
      </c>
      <c r="F24" s="237"/>
      <c r="G24" s="237"/>
      <c r="H24" s="237">
        <f t="shared" si="8"/>
        <v>0</v>
      </c>
      <c r="I24" s="237">
        <f t="shared" si="8"/>
        <v>0</v>
      </c>
      <c r="J24" s="238"/>
      <c r="K24" s="238"/>
      <c r="L24" s="238"/>
      <c r="M24" s="239">
        <f t="shared" si="9"/>
        <v>0</v>
      </c>
      <c r="N24" s="128"/>
      <c r="O24" s="240">
        <v>0</v>
      </c>
      <c r="P24" s="239">
        <f t="shared" si="10"/>
        <v>0</v>
      </c>
    </row>
    <row r="25" spans="1:17" ht="12.75" customHeight="1" x14ac:dyDescent="0.25">
      <c r="A25" s="246">
        <f>A24+1</f>
        <v>19</v>
      </c>
      <c r="B25" s="930"/>
      <c r="C25" s="931" t="s">
        <v>735</v>
      </c>
      <c r="D25" s="237">
        <v>121.4</v>
      </c>
      <c r="E25" s="237">
        <v>120.57899999999999</v>
      </c>
      <c r="F25" s="237">
        <v>0</v>
      </c>
      <c r="G25" s="237">
        <v>0</v>
      </c>
      <c r="H25" s="237">
        <f t="shared" si="8"/>
        <v>121.4</v>
      </c>
      <c r="I25" s="237">
        <f t="shared" si="8"/>
        <v>120.57899999999999</v>
      </c>
      <c r="J25" s="238"/>
      <c r="K25" s="238"/>
      <c r="L25" s="238"/>
      <c r="M25" s="239">
        <f t="shared" si="9"/>
        <v>0.82100000000001216</v>
      </c>
      <c r="N25" s="932"/>
      <c r="O25" s="240">
        <v>0</v>
      </c>
      <c r="P25" s="239">
        <f t="shared" si="10"/>
        <v>120.57899999999999</v>
      </c>
      <c r="Q25" s="247"/>
    </row>
    <row r="26" spans="1:17" s="228" customFormat="1" ht="12.75" customHeight="1" x14ac:dyDescent="0.25">
      <c r="A26" s="224">
        <f t="shared" si="0"/>
        <v>20</v>
      </c>
      <c r="B26" s="1222" t="s">
        <v>869</v>
      </c>
      <c r="C26" s="1223"/>
      <c r="D26" s="287">
        <f t="shared" ref="D26:M26" si="11">D27+D30</f>
        <v>1719.4810600000001</v>
      </c>
      <c r="E26" s="287">
        <f t="shared" si="11"/>
        <v>1719.4810600000001</v>
      </c>
      <c r="F26" s="287">
        <f t="shared" si="11"/>
        <v>0</v>
      </c>
      <c r="G26" s="287">
        <f t="shared" si="11"/>
        <v>0</v>
      </c>
      <c r="H26" s="287">
        <f t="shared" si="11"/>
        <v>1719.4810600000001</v>
      </c>
      <c r="I26" s="287">
        <f t="shared" si="11"/>
        <v>1719.4810600000001</v>
      </c>
      <c r="J26" s="287">
        <f t="shared" si="11"/>
        <v>0</v>
      </c>
      <c r="K26" s="287">
        <f t="shared" si="11"/>
        <v>0</v>
      </c>
      <c r="L26" s="287">
        <f t="shared" si="11"/>
        <v>0</v>
      </c>
      <c r="M26" s="290">
        <f t="shared" si="11"/>
        <v>0</v>
      </c>
      <c r="N26" s="227"/>
      <c r="O26" s="780">
        <f>O27+O30</f>
        <v>0</v>
      </c>
      <c r="P26" s="781">
        <f>P27+P30</f>
        <v>1719.4810600000001</v>
      </c>
    </row>
    <row r="27" spans="1:17" ht="12.75" customHeight="1" x14ac:dyDescent="0.25">
      <c r="A27" s="248">
        <f t="shared" si="0"/>
        <v>21</v>
      </c>
      <c r="B27" s="249"/>
      <c r="C27" s="1127" t="s">
        <v>1337</v>
      </c>
      <c r="D27" s="1128">
        <f>SUM(D28:D29)</f>
        <v>1319.4810600000001</v>
      </c>
      <c r="E27" s="1128">
        <f>SUM(E28:E29)</f>
        <v>1319.4810600000001</v>
      </c>
      <c r="F27" s="1128">
        <f t="shared" ref="F27:L27" si="12">SUM(F28:F29)</f>
        <v>0</v>
      </c>
      <c r="G27" s="1128">
        <f t="shared" si="12"/>
        <v>0</v>
      </c>
      <c r="H27" s="1128">
        <f t="shared" si="12"/>
        <v>1319.4810600000001</v>
      </c>
      <c r="I27" s="1128">
        <f t="shared" si="12"/>
        <v>1319.4810600000001</v>
      </c>
      <c r="J27" s="1128">
        <f t="shared" si="12"/>
        <v>0</v>
      </c>
      <c r="K27" s="1128">
        <f t="shared" si="12"/>
        <v>0</v>
      </c>
      <c r="L27" s="1128">
        <f t="shared" si="12"/>
        <v>0</v>
      </c>
      <c r="M27" s="1129">
        <f>SUM(M28:M29)</f>
        <v>0</v>
      </c>
      <c r="N27" s="1130"/>
      <c r="O27" s="1131">
        <f>SUM(O28:O29)</f>
        <v>0</v>
      </c>
      <c r="P27" s="1129">
        <f>I27+O27</f>
        <v>1319.4810600000001</v>
      </c>
      <c r="Q27" s="924"/>
    </row>
    <row r="28" spans="1:17" ht="25.5" x14ac:dyDescent="0.25">
      <c r="A28" s="248">
        <f>A27+1</f>
        <v>22</v>
      </c>
      <c r="B28" s="249"/>
      <c r="C28" s="1135" t="s">
        <v>1345</v>
      </c>
      <c r="D28" s="1132">
        <f>170.492+91.345</f>
        <v>261.83699999999999</v>
      </c>
      <c r="E28" s="1133">
        <f>D28</f>
        <v>261.83699999999999</v>
      </c>
      <c r="F28" s="1133">
        <v>0</v>
      </c>
      <c r="G28" s="1133">
        <v>0</v>
      </c>
      <c r="H28" s="919">
        <f>D28+F28</f>
        <v>261.83699999999999</v>
      </c>
      <c r="I28" s="1134">
        <f>E28+G28</f>
        <v>261.83699999999999</v>
      </c>
      <c r="J28" s="1133">
        <v>0</v>
      </c>
      <c r="K28" s="1133">
        <v>0</v>
      </c>
      <c r="L28" s="1132">
        <v>0</v>
      </c>
      <c r="M28" s="921">
        <v>0</v>
      </c>
      <c r="N28" s="1130"/>
      <c r="O28" s="1141">
        <v>0</v>
      </c>
      <c r="P28" s="921">
        <f>I28+O28</f>
        <v>261.83699999999999</v>
      </c>
      <c r="Q28" s="924"/>
    </row>
    <row r="29" spans="1:17" ht="38.25" x14ac:dyDescent="0.25">
      <c r="A29" s="253">
        <f>A28+1</f>
        <v>23</v>
      </c>
      <c r="B29" s="1136"/>
      <c r="C29" s="1135" t="s">
        <v>1346</v>
      </c>
      <c r="D29" s="1132">
        <v>1057.6440600000001</v>
      </c>
      <c r="E29" s="1133">
        <f>D29</f>
        <v>1057.6440600000001</v>
      </c>
      <c r="F29" s="1133">
        <v>0</v>
      </c>
      <c r="G29" s="1133">
        <v>0</v>
      </c>
      <c r="H29" s="919">
        <f>D29+F29</f>
        <v>1057.6440600000001</v>
      </c>
      <c r="I29" s="1134">
        <f>E29+G29</f>
        <v>1057.6440600000001</v>
      </c>
      <c r="J29" s="1133">
        <v>0</v>
      </c>
      <c r="K29" s="1133">
        <v>0</v>
      </c>
      <c r="L29" s="1132">
        <v>0</v>
      </c>
      <c r="M29" s="921">
        <v>0</v>
      </c>
      <c r="N29" s="1130"/>
      <c r="O29" s="1141">
        <v>0</v>
      </c>
      <c r="P29" s="921">
        <f>I29+O29</f>
        <v>1057.6440600000001</v>
      </c>
      <c r="Q29" s="924"/>
    </row>
    <row r="30" spans="1:17" ht="12.75" customHeight="1" x14ac:dyDescent="0.25">
      <c r="A30" s="248">
        <f t="shared" si="0"/>
        <v>24</v>
      </c>
      <c r="B30" s="249"/>
      <c r="C30" s="1096" t="s">
        <v>1039</v>
      </c>
      <c r="D30" s="231">
        <f>+D31</f>
        <v>400</v>
      </c>
      <c r="E30" s="231">
        <f t="shared" ref="E30:O30" si="13">+E31</f>
        <v>400</v>
      </c>
      <c r="F30" s="231">
        <f t="shared" si="13"/>
        <v>0</v>
      </c>
      <c r="G30" s="231">
        <f t="shared" si="13"/>
        <v>0</v>
      </c>
      <c r="H30" s="231">
        <f t="shared" si="13"/>
        <v>400</v>
      </c>
      <c r="I30" s="867">
        <f t="shared" si="13"/>
        <v>400</v>
      </c>
      <c r="J30" s="231">
        <f t="shared" si="13"/>
        <v>0</v>
      </c>
      <c r="K30" s="231">
        <f t="shared" si="13"/>
        <v>0</v>
      </c>
      <c r="L30" s="251">
        <f t="shared" si="13"/>
        <v>0</v>
      </c>
      <c r="M30" s="232">
        <f t="shared" si="13"/>
        <v>0</v>
      </c>
      <c r="N30" s="252"/>
      <c r="O30" s="234">
        <f t="shared" si="13"/>
        <v>0</v>
      </c>
      <c r="P30" s="232">
        <f>I30+O30</f>
        <v>400</v>
      </c>
    </row>
    <row r="31" spans="1:17" ht="12.75" customHeight="1" x14ac:dyDescent="0.25">
      <c r="A31" s="253">
        <f t="shared" si="0"/>
        <v>25</v>
      </c>
      <c r="B31" s="235"/>
      <c r="C31" s="866" t="s">
        <v>1240</v>
      </c>
      <c r="D31" s="255">
        <f>50+35+80+235</f>
        <v>400</v>
      </c>
      <c r="E31" s="256">
        <f>D31</f>
        <v>400</v>
      </c>
      <c r="F31" s="256">
        <v>0</v>
      </c>
      <c r="G31" s="256">
        <v>0</v>
      </c>
      <c r="H31" s="237">
        <f>D31+F31</f>
        <v>400</v>
      </c>
      <c r="I31" s="868">
        <f>E31+G31</f>
        <v>400</v>
      </c>
      <c r="J31" s="256">
        <v>0</v>
      </c>
      <c r="K31" s="256">
        <v>0</v>
      </c>
      <c r="L31" s="255">
        <v>0</v>
      </c>
      <c r="M31" s="239">
        <v>0</v>
      </c>
      <c r="N31" s="258"/>
      <c r="O31" s="259">
        <v>0</v>
      </c>
      <c r="P31" s="239">
        <f>I31+O31</f>
        <v>400</v>
      </c>
    </row>
    <row r="32" spans="1:17" ht="12.75" customHeight="1" x14ac:dyDescent="0.25">
      <c r="A32" s="224">
        <f>A31+1</f>
        <v>26</v>
      </c>
      <c r="B32" s="1222" t="s">
        <v>867</v>
      </c>
      <c r="C32" s="1223"/>
      <c r="D32" s="287">
        <f t="shared" ref="D32:M32" si="14">SUM(D33:D35)</f>
        <v>15537.8012</v>
      </c>
      <c r="E32" s="287">
        <f t="shared" si="14"/>
        <v>15458.17751</v>
      </c>
      <c r="F32" s="287">
        <f t="shared" si="14"/>
        <v>0</v>
      </c>
      <c r="G32" s="287">
        <f t="shared" si="14"/>
        <v>0</v>
      </c>
      <c r="H32" s="287">
        <f t="shared" si="14"/>
        <v>15537.8012</v>
      </c>
      <c r="I32" s="287">
        <f t="shared" si="14"/>
        <v>15458.17751</v>
      </c>
      <c r="J32" s="287">
        <f t="shared" si="14"/>
        <v>0</v>
      </c>
      <c r="K32" s="287">
        <f t="shared" si="14"/>
        <v>0</v>
      </c>
      <c r="L32" s="287">
        <f t="shared" si="14"/>
        <v>0</v>
      </c>
      <c r="M32" s="290">
        <f t="shared" si="14"/>
        <v>79.623690000000352</v>
      </c>
      <c r="N32" s="260"/>
      <c r="O32" s="291">
        <f>SUM(O33:O35)</f>
        <v>52.09637</v>
      </c>
      <c r="P32" s="290">
        <f>SUM(P33:P35)</f>
        <v>15510.273879999999</v>
      </c>
    </row>
    <row r="33" spans="1:16" ht="12.75" customHeight="1" x14ac:dyDescent="0.25">
      <c r="A33" s="253">
        <f t="shared" si="0"/>
        <v>27</v>
      </c>
      <c r="B33" s="261"/>
      <c r="C33" s="230" t="s">
        <v>1040</v>
      </c>
      <c r="D33" s="231">
        <v>7197.8011999999999</v>
      </c>
      <c r="E33" s="231">
        <f>7197.8012-79.62369</f>
        <v>7118.1775099999995</v>
      </c>
      <c r="F33" s="231">
        <v>0</v>
      </c>
      <c r="G33" s="231">
        <v>0</v>
      </c>
      <c r="H33" s="231">
        <f>+D33+F33</f>
        <v>7197.8011999999999</v>
      </c>
      <c r="I33" s="231">
        <f>E33+G33</f>
        <v>7118.1775099999995</v>
      </c>
      <c r="J33" s="231">
        <v>0</v>
      </c>
      <c r="K33" s="231">
        <v>0</v>
      </c>
      <c r="L33" s="231">
        <v>0</v>
      </c>
      <c r="M33" s="232">
        <f>+H33-I33</f>
        <v>79.623690000000352</v>
      </c>
      <c r="N33" s="260"/>
      <c r="O33" s="1142">
        <f>3.26+0.9+10.83637+35</f>
        <v>49.996369999999999</v>
      </c>
      <c r="P33" s="232">
        <f>O33+I33</f>
        <v>7168.1738799999994</v>
      </c>
    </row>
    <row r="34" spans="1:16" ht="12.75" customHeight="1" x14ac:dyDescent="0.25">
      <c r="A34" s="253">
        <f t="shared" si="0"/>
        <v>28</v>
      </c>
      <c r="B34" s="261"/>
      <c r="C34" s="230" t="s">
        <v>1041</v>
      </c>
      <c r="D34" s="231">
        <f>8000+20+50+10+250</f>
        <v>8330</v>
      </c>
      <c r="E34" s="231">
        <f>8000+20+50+10+250</f>
        <v>8330</v>
      </c>
      <c r="F34" s="231">
        <v>0</v>
      </c>
      <c r="G34" s="231">
        <v>0</v>
      </c>
      <c r="H34" s="231">
        <f>+D34+F34</f>
        <v>8330</v>
      </c>
      <c r="I34" s="231">
        <f>E34+G34</f>
        <v>8330</v>
      </c>
      <c r="J34" s="231">
        <v>0</v>
      </c>
      <c r="K34" s="231">
        <v>0</v>
      </c>
      <c r="L34" s="231">
        <v>0</v>
      </c>
      <c r="M34" s="890">
        <f>+H34-I34</f>
        <v>0</v>
      </c>
      <c r="N34" s="260"/>
      <c r="O34" s="234">
        <v>0</v>
      </c>
      <c r="P34" s="232">
        <f>O34+I34</f>
        <v>8330</v>
      </c>
    </row>
    <row r="35" spans="1:16" ht="12.75" customHeight="1" x14ac:dyDescent="0.25">
      <c r="A35" s="253">
        <f>A34+1</f>
        <v>29</v>
      </c>
      <c r="B35" s="261"/>
      <c r="C35" s="230" t="s">
        <v>741</v>
      </c>
      <c r="D35" s="231">
        <v>10</v>
      </c>
      <c r="E35" s="231">
        <f>D35</f>
        <v>10</v>
      </c>
      <c r="F35" s="231">
        <v>0</v>
      </c>
      <c r="G35" s="231">
        <v>0</v>
      </c>
      <c r="H35" s="231">
        <f>+D35+F35</f>
        <v>10</v>
      </c>
      <c r="I35" s="231">
        <f>E35+G35</f>
        <v>10</v>
      </c>
      <c r="J35" s="231">
        <v>0</v>
      </c>
      <c r="K35" s="231">
        <v>0</v>
      </c>
      <c r="L35" s="231">
        <v>0</v>
      </c>
      <c r="M35" s="232">
        <f>+H35-I35</f>
        <v>0</v>
      </c>
      <c r="N35" s="262"/>
      <c r="O35" s="234">
        <v>2.1</v>
      </c>
      <c r="P35" s="232">
        <f>O35+I35</f>
        <v>12.1</v>
      </c>
    </row>
    <row r="36" spans="1:16" ht="12.75" customHeight="1" x14ac:dyDescent="0.25">
      <c r="A36" s="224">
        <f>A35+1</f>
        <v>30</v>
      </c>
      <c r="B36" s="1222" t="s">
        <v>870</v>
      </c>
      <c r="C36" s="1223"/>
      <c r="D36" s="287">
        <f t="shared" ref="D36:M36" si="15">SUM(D37:D38)</f>
        <v>14323.835349999999</v>
      </c>
      <c r="E36" s="287">
        <f t="shared" si="15"/>
        <v>14323.835349999999</v>
      </c>
      <c r="F36" s="287">
        <f t="shared" si="15"/>
        <v>0</v>
      </c>
      <c r="G36" s="287">
        <f t="shared" si="15"/>
        <v>0</v>
      </c>
      <c r="H36" s="287">
        <f t="shared" si="15"/>
        <v>14323.835349999999</v>
      </c>
      <c r="I36" s="287">
        <f t="shared" si="15"/>
        <v>14323.835349999999</v>
      </c>
      <c r="J36" s="287">
        <f t="shared" si="15"/>
        <v>0</v>
      </c>
      <c r="K36" s="287">
        <f t="shared" si="15"/>
        <v>0</v>
      </c>
      <c r="L36" s="287">
        <f t="shared" si="15"/>
        <v>0</v>
      </c>
      <c r="M36" s="290">
        <f t="shared" si="15"/>
        <v>0</v>
      </c>
      <c r="N36" s="260"/>
      <c r="O36" s="291">
        <f>SUM(O37:O38)</f>
        <v>0</v>
      </c>
      <c r="P36" s="290">
        <f>SUM(P37:P38)</f>
        <v>14323.835349999999</v>
      </c>
    </row>
    <row r="37" spans="1:16" ht="12.75" customHeight="1" x14ac:dyDescent="0.25">
      <c r="A37" s="229">
        <f>A36+1</f>
        <v>31</v>
      </c>
      <c r="B37" s="263"/>
      <c r="C37" s="264" t="s">
        <v>1378</v>
      </c>
      <c r="D37" s="265">
        <v>14248.51677</v>
      </c>
      <c r="E37" s="231">
        <f>D37</f>
        <v>14248.51677</v>
      </c>
      <c r="F37" s="231">
        <v>0</v>
      </c>
      <c r="G37" s="231">
        <v>0</v>
      </c>
      <c r="H37" s="231">
        <f>+D37+F37</f>
        <v>14248.51677</v>
      </c>
      <c r="I37" s="231">
        <f>+E37+G37</f>
        <v>14248.51677</v>
      </c>
      <c r="J37" s="231">
        <v>0</v>
      </c>
      <c r="K37" s="231">
        <v>0</v>
      </c>
      <c r="L37" s="231">
        <v>0</v>
      </c>
      <c r="M37" s="232">
        <f>+H37-I37</f>
        <v>0</v>
      </c>
      <c r="N37" s="128"/>
      <c r="O37" s="234">
        <v>0</v>
      </c>
      <c r="P37" s="232">
        <f>+I37+O37</f>
        <v>14248.51677</v>
      </c>
    </row>
    <row r="38" spans="1:16" ht="12.75" customHeight="1" thickBot="1" x14ac:dyDescent="0.3">
      <c r="A38" s="266">
        <f>A37+1</f>
        <v>32</v>
      </c>
      <c r="B38" s="263"/>
      <c r="C38" s="1145" t="s">
        <v>1379</v>
      </c>
      <c r="D38" s="231">
        <v>75.318579999999997</v>
      </c>
      <c r="E38" s="231">
        <f>D38</f>
        <v>75.318579999999997</v>
      </c>
      <c r="F38" s="231">
        <f>+F40</f>
        <v>0</v>
      </c>
      <c r="G38" s="231">
        <f>+G40</f>
        <v>0</v>
      </c>
      <c r="H38" s="231">
        <f>+D38+F38</f>
        <v>75.318579999999997</v>
      </c>
      <c r="I38" s="231">
        <f>E38+G38</f>
        <v>75.318579999999997</v>
      </c>
      <c r="J38" s="231">
        <v>0</v>
      </c>
      <c r="K38" s="231">
        <v>0</v>
      </c>
      <c r="L38" s="231">
        <v>0</v>
      </c>
      <c r="M38" s="232">
        <f>+H38-I38</f>
        <v>0</v>
      </c>
      <c r="N38" s="128"/>
      <c r="O38" s="234">
        <v>0</v>
      </c>
      <c r="P38" s="232">
        <f>+I38+O38</f>
        <v>75.318579999999997</v>
      </c>
    </row>
    <row r="39" spans="1:16" s="113" customFormat="1" ht="13.5" customHeight="1" thickBot="1" x14ac:dyDescent="0.3">
      <c r="A39" s="267">
        <f>+A38+1</f>
        <v>33</v>
      </c>
      <c r="B39" s="268" t="s">
        <v>813</v>
      </c>
      <c r="C39" s="269"/>
      <c r="D39" s="270">
        <f t="shared" ref="D39:M39" si="16">+D7+D26+D32+D36</f>
        <v>555343.07360999996</v>
      </c>
      <c r="E39" s="270">
        <f t="shared" si="16"/>
        <v>555262.62891999993</v>
      </c>
      <c r="F39" s="270">
        <f t="shared" si="16"/>
        <v>29830</v>
      </c>
      <c r="G39" s="270">
        <f t="shared" si="16"/>
        <v>29830</v>
      </c>
      <c r="H39" s="270">
        <f t="shared" si="16"/>
        <v>585173.07360999996</v>
      </c>
      <c r="I39" s="270">
        <f t="shared" si="16"/>
        <v>585092.62891999993</v>
      </c>
      <c r="J39" s="270">
        <f t="shared" si="16"/>
        <v>9865.2820699999993</v>
      </c>
      <c r="K39" s="270">
        <f t="shared" si="16"/>
        <v>35775.599889999998</v>
      </c>
      <c r="L39" s="270">
        <f t="shared" si="16"/>
        <v>0</v>
      </c>
      <c r="M39" s="271">
        <f t="shared" si="16"/>
        <v>80.444690000000364</v>
      </c>
      <c r="N39" s="272"/>
      <c r="O39" s="273">
        <f>+O7+O26+O32+O36</f>
        <v>31206.096370000003</v>
      </c>
      <c r="P39" s="271">
        <f>+P7+P26+P32+P36</f>
        <v>616298.72528999997</v>
      </c>
    </row>
    <row r="40" spans="1:16" s="119" customFormat="1" ht="13.5" customHeight="1" x14ac:dyDescent="0.25">
      <c r="A40" s="274"/>
      <c r="B40" s="125"/>
      <c r="C40" s="788"/>
      <c r="D40" s="114"/>
      <c r="E40" s="114"/>
      <c r="F40" s="114"/>
      <c r="G40" s="114"/>
      <c r="H40" s="114"/>
      <c r="I40" s="114"/>
      <c r="J40" s="114"/>
      <c r="K40" s="114"/>
      <c r="L40" s="114"/>
      <c r="M40" s="114"/>
      <c r="O40" s="114"/>
      <c r="P40" s="114"/>
    </row>
    <row r="41" spans="1:16" ht="22.5" customHeight="1" x14ac:dyDescent="0.25">
      <c r="A41" s="213" t="s">
        <v>657</v>
      </c>
      <c r="C41" s="786"/>
    </row>
    <row r="42" spans="1:16" ht="57" customHeight="1" x14ac:dyDescent="0.25">
      <c r="A42" s="1242" t="s">
        <v>904</v>
      </c>
      <c r="B42" s="1242"/>
      <c r="C42" s="1242"/>
      <c r="D42" s="1242"/>
      <c r="E42" s="1242"/>
      <c r="F42" s="1242"/>
      <c r="G42" s="1242"/>
      <c r="H42" s="1242"/>
      <c r="I42" s="1242"/>
      <c r="J42" s="1242"/>
      <c r="K42" s="1242"/>
      <c r="L42" s="1242"/>
      <c r="M42" s="1242"/>
      <c r="N42" s="1242"/>
      <c r="O42" s="1242"/>
      <c r="P42" s="1242"/>
    </row>
    <row r="43" spans="1:16" ht="18" customHeight="1" x14ac:dyDescent="0.25">
      <c r="A43" s="1242" t="s">
        <v>1000</v>
      </c>
      <c r="B43" s="1242"/>
      <c r="C43" s="1242"/>
      <c r="D43" s="1242"/>
      <c r="E43" s="1242"/>
      <c r="F43" s="1242"/>
      <c r="G43" s="1242"/>
      <c r="H43" s="1242"/>
      <c r="I43" s="1242"/>
      <c r="J43" s="1242"/>
      <c r="K43" s="1242"/>
      <c r="L43" s="1242"/>
      <c r="M43" s="1242"/>
      <c r="N43" s="1242"/>
      <c r="O43" s="1242"/>
      <c r="P43" s="1242"/>
    </row>
    <row r="44" spans="1:16" ht="33.75" customHeight="1" x14ac:dyDescent="0.25">
      <c r="A44" s="1242" t="s">
        <v>952</v>
      </c>
      <c r="B44" s="1242"/>
      <c r="C44" s="1242"/>
      <c r="D44" s="1242"/>
      <c r="E44" s="1242"/>
      <c r="F44" s="1242"/>
      <c r="G44" s="1242"/>
      <c r="H44" s="1242"/>
      <c r="I44" s="1242"/>
      <c r="J44" s="1242"/>
      <c r="K44" s="1242"/>
      <c r="L44" s="1242"/>
      <c r="M44" s="1242"/>
      <c r="N44" s="1242"/>
      <c r="O44" s="1242"/>
      <c r="P44" s="1242"/>
    </row>
    <row r="45" spans="1:16" ht="33.75" customHeight="1" x14ac:dyDescent="0.25">
      <c r="A45" s="1242" t="s">
        <v>1198</v>
      </c>
      <c r="B45" s="1242"/>
      <c r="C45" s="1242"/>
      <c r="D45" s="1242"/>
      <c r="E45" s="1242"/>
      <c r="F45" s="1242"/>
      <c r="G45" s="1242"/>
      <c r="H45" s="1242"/>
      <c r="I45" s="1242"/>
      <c r="J45" s="1242"/>
      <c r="K45" s="1242"/>
      <c r="L45" s="1242"/>
      <c r="M45" s="1242"/>
      <c r="N45" s="1242"/>
      <c r="O45" s="1242"/>
      <c r="P45" s="1242"/>
    </row>
    <row r="46" spans="1:16" ht="19.5" customHeight="1" x14ac:dyDescent="0.25">
      <c r="A46" s="1242" t="s">
        <v>1200</v>
      </c>
      <c r="B46" s="1242"/>
      <c r="C46" s="1242"/>
      <c r="D46" s="1242"/>
      <c r="E46" s="1242"/>
      <c r="F46" s="1242"/>
      <c r="G46" s="1242"/>
      <c r="H46" s="1242"/>
      <c r="I46" s="1242"/>
      <c r="J46" s="1242"/>
      <c r="K46" s="1242"/>
      <c r="L46" s="1242"/>
      <c r="M46" s="1242"/>
      <c r="N46" s="1242"/>
      <c r="O46" s="1242"/>
      <c r="P46" s="1242"/>
    </row>
    <row r="47" spans="1:16" ht="19.5" customHeight="1" x14ac:dyDescent="0.25">
      <c r="A47" s="131"/>
      <c r="B47" s="131"/>
      <c r="C47" s="131"/>
      <c r="D47" s="131"/>
      <c r="E47" s="131"/>
      <c r="F47" s="131"/>
      <c r="G47" s="131"/>
      <c r="H47" s="131"/>
      <c r="I47" s="131"/>
      <c r="J47" s="131"/>
      <c r="K47" s="131"/>
      <c r="L47" s="131"/>
      <c r="M47" s="131"/>
      <c r="N47" s="131"/>
      <c r="O47" s="131"/>
      <c r="P47" s="131"/>
    </row>
    <row r="48" spans="1:16" x14ac:dyDescent="0.25">
      <c r="A48" s="105" t="s">
        <v>822</v>
      </c>
      <c r="C48" s="213"/>
    </row>
    <row r="49" spans="3:3" x14ac:dyDescent="0.25">
      <c r="C49" s="213"/>
    </row>
    <row r="50" spans="3:3" x14ac:dyDescent="0.25">
      <c r="C50" s="213"/>
    </row>
  </sheetData>
  <mergeCells count="19">
    <mergeCell ref="A46:P46"/>
    <mergeCell ref="B32:C32"/>
    <mergeCell ref="B36:C36"/>
    <mergeCell ref="A44:P44"/>
    <mergeCell ref="A42:P42"/>
    <mergeCell ref="A45:P45"/>
    <mergeCell ref="A43:P43"/>
    <mergeCell ref="P4:P5"/>
    <mergeCell ref="O4:O5"/>
    <mergeCell ref="B26:C26"/>
    <mergeCell ref="A4:A6"/>
    <mergeCell ref="B8:C8"/>
    <mergeCell ref="B4:C6"/>
    <mergeCell ref="M4:M5"/>
    <mergeCell ref="B18:C18"/>
    <mergeCell ref="J4:L4"/>
    <mergeCell ref="H4:I4"/>
    <mergeCell ref="F4:G4"/>
    <mergeCell ref="D4:E4"/>
  </mergeCells>
  <phoneticPr fontId="15" type="noConversion"/>
  <printOptions horizontalCentered="1"/>
  <pageMargins left="0.19685039370078741" right="0.19685039370078741" top="0.59055118110236227" bottom="0.59055118110236227" header="0.31496062992125984" footer="0.31496062992125984"/>
  <pageSetup paperSize="9" scale="49" orientation="landscape" r:id="rId1"/>
  <ignoredErrors>
    <ignoredError sqref="A10 A25"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58"/>
  <sheetViews>
    <sheetView zoomScale="89" zoomScaleNormal="89" workbookViewId="0"/>
  </sheetViews>
  <sheetFormatPr defaultRowHeight="15" x14ac:dyDescent="0.25"/>
  <cols>
    <col min="1" max="1" width="5" style="113" customWidth="1"/>
    <col min="2" max="2" width="45.85546875" style="113" customWidth="1"/>
    <col min="3" max="3" width="12.7109375" style="113" customWidth="1"/>
    <col min="4" max="4" width="11.5703125" style="113" customWidth="1"/>
    <col min="5" max="5" width="11.28515625" style="113" customWidth="1"/>
    <col min="6" max="6" width="11.5703125" style="113" customWidth="1"/>
    <col min="7" max="7" width="10.85546875" style="113" customWidth="1"/>
    <col min="8" max="9" width="10.42578125" style="113" customWidth="1"/>
    <col min="10" max="10" width="12.5703125" style="113" customWidth="1"/>
    <col min="11" max="11" width="10.5703125" style="113" customWidth="1"/>
    <col min="12" max="12" width="11.42578125" style="113" customWidth="1"/>
    <col min="13" max="13" width="1.7109375" style="114" customWidth="1"/>
    <col min="14" max="14" width="11" style="113" customWidth="1"/>
    <col min="15" max="15" width="10.85546875" style="113" customWidth="1"/>
    <col min="16" max="236" width="9.140625" style="113"/>
    <col min="237" max="237" width="59.7109375" style="113" customWidth="1"/>
    <col min="238" max="244" width="10.5703125" style="113" customWidth="1"/>
    <col min="245" max="16384" width="9.140625" style="113"/>
  </cols>
  <sheetData>
    <row r="1" spans="1:15" ht="15.75" x14ac:dyDescent="0.25">
      <c r="A1" s="110" t="s">
        <v>1344</v>
      </c>
      <c r="O1" s="859" t="s">
        <v>1235</v>
      </c>
    </row>
    <row r="2" spans="1:15" ht="15.75" x14ac:dyDescent="0.25">
      <c r="A2" s="110"/>
      <c r="B2" s="213" t="s">
        <v>997</v>
      </c>
    </row>
    <row r="3" spans="1:15" ht="13.5" customHeight="1" thickBot="1" x14ac:dyDescent="0.3">
      <c r="B3" s="275"/>
      <c r="O3" s="115" t="s">
        <v>517</v>
      </c>
    </row>
    <row r="4" spans="1:15" s="213" customFormat="1" ht="38.25" customHeight="1" x14ac:dyDescent="0.25">
      <c r="A4" s="1245" t="s">
        <v>497</v>
      </c>
      <c r="B4" s="1256" t="s">
        <v>871</v>
      </c>
      <c r="C4" s="1259" t="s">
        <v>797</v>
      </c>
      <c r="D4" s="1240"/>
      <c r="E4" s="1240" t="s">
        <v>798</v>
      </c>
      <c r="F4" s="1240"/>
      <c r="G4" s="1254" t="s">
        <v>799</v>
      </c>
      <c r="H4" s="1255"/>
      <c r="I4" s="1250" t="s">
        <v>906</v>
      </c>
      <c r="J4" s="1243" t="s">
        <v>1202</v>
      </c>
      <c r="K4" s="1252" t="s">
        <v>990</v>
      </c>
      <c r="L4" s="1235" t="s">
        <v>862</v>
      </c>
      <c r="M4" s="276"/>
      <c r="N4" s="1248" t="s">
        <v>999</v>
      </c>
      <c r="O4" s="1218" t="s">
        <v>800</v>
      </c>
    </row>
    <row r="5" spans="1:15" s="213" customFormat="1" ht="13.5" customHeight="1" x14ac:dyDescent="0.25">
      <c r="A5" s="1246"/>
      <c r="B5" s="1257"/>
      <c r="C5" s="216" t="s">
        <v>865</v>
      </c>
      <c r="D5" s="215" t="s">
        <v>872</v>
      </c>
      <c r="E5" s="216" t="s">
        <v>659</v>
      </c>
      <c r="F5" s="215" t="s">
        <v>664</v>
      </c>
      <c r="G5" s="215" t="s">
        <v>659</v>
      </c>
      <c r="H5" s="277" t="s">
        <v>664</v>
      </c>
      <c r="I5" s="1251"/>
      <c r="J5" s="1244"/>
      <c r="K5" s="1253"/>
      <c r="L5" s="1236"/>
      <c r="M5" s="276"/>
      <c r="N5" s="1249"/>
      <c r="O5" s="1219"/>
    </row>
    <row r="6" spans="1:15" s="213" customFormat="1" ht="15" customHeight="1" thickBot="1" x14ac:dyDescent="0.3">
      <c r="A6" s="1247"/>
      <c r="B6" s="1258"/>
      <c r="C6" s="278" t="s">
        <v>577</v>
      </c>
      <c r="D6" s="219" t="s">
        <v>578</v>
      </c>
      <c r="E6" s="219" t="s">
        <v>579</v>
      </c>
      <c r="F6" s="219" t="s">
        <v>580</v>
      </c>
      <c r="G6" s="219" t="s">
        <v>661</v>
      </c>
      <c r="H6" s="279" t="s">
        <v>662</v>
      </c>
      <c r="I6" s="1115" t="s">
        <v>868</v>
      </c>
      <c r="J6" s="220" t="s">
        <v>877</v>
      </c>
      <c r="K6" s="220" t="s">
        <v>583</v>
      </c>
      <c r="L6" s="222" t="s">
        <v>802</v>
      </c>
      <c r="M6" s="276"/>
      <c r="N6" s="223" t="s">
        <v>585</v>
      </c>
      <c r="O6" s="222" t="s">
        <v>874</v>
      </c>
    </row>
    <row r="7" spans="1:15" s="228" customFormat="1" ht="15" customHeight="1" x14ac:dyDescent="0.25">
      <c r="A7" s="224">
        <v>1</v>
      </c>
      <c r="B7" s="230" t="s">
        <v>663</v>
      </c>
      <c r="C7" s="282">
        <f t="shared" ref="C7:H7" si="0">+C8+C14</f>
        <v>106528.1</v>
      </c>
      <c r="D7" s="282">
        <f t="shared" si="0"/>
        <v>106523.93186</v>
      </c>
      <c r="E7" s="282">
        <f t="shared" si="0"/>
        <v>408</v>
      </c>
      <c r="F7" s="282">
        <f t="shared" si="0"/>
        <v>408</v>
      </c>
      <c r="G7" s="282">
        <f t="shared" si="0"/>
        <v>106936.1</v>
      </c>
      <c r="H7" s="283">
        <f t="shared" si="0"/>
        <v>106931.93186</v>
      </c>
      <c r="I7" s="1116"/>
      <c r="J7" s="282">
        <f>+J8+J14</f>
        <v>0</v>
      </c>
      <c r="K7" s="282">
        <f>+K8+K14</f>
        <v>134.61643000000001</v>
      </c>
      <c r="L7" s="284">
        <f>+L8+L14</f>
        <v>4.1681400000000153</v>
      </c>
      <c r="M7" s="285"/>
      <c r="N7" s="286">
        <f>+N8+N14</f>
        <v>0</v>
      </c>
      <c r="O7" s="282">
        <f>+O8+O14</f>
        <v>106931.93186</v>
      </c>
    </row>
    <row r="8" spans="1:15" s="228" customFormat="1" ht="13.5" customHeight="1" x14ac:dyDescent="0.25">
      <c r="A8" s="253">
        <f>A7+1</f>
        <v>2</v>
      </c>
      <c r="B8" s="230" t="s">
        <v>968</v>
      </c>
      <c r="C8" s="287">
        <f t="shared" ref="C8:H8" si="1">SUM(C9:C11)</f>
        <v>81306.510000000009</v>
      </c>
      <c r="D8" s="287">
        <f t="shared" si="1"/>
        <v>81305.485000000001</v>
      </c>
      <c r="E8" s="287">
        <f t="shared" si="1"/>
        <v>408</v>
      </c>
      <c r="F8" s="287">
        <f t="shared" si="1"/>
        <v>408</v>
      </c>
      <c r="G8" s="287">
        <f t="shared" si="1"/>
        <v>81714.510000000009</v>
      </c>
      <c r="H8" s="288">
        <f t="shared" si="1"/>
        <v>81713.485000000001</v>
      </c>
      <c r="I8" s="1117"/>
      <c r="J8" s="287">
        <f>SUM(J9:J11)</f>
        <v>0</v>
      </c>
      <c r="K8" s="287">
        <f>SUM(K9:K11)</f>
        <v>14.51332</v>
      </c>
      <c r="L8" s="290">
        <f>SUM(L9:L11)</f>
        <v>1.0249999999999986</v>
      </c>
      <c r="M8" s="285"/>
      <c r="N8" s="291">
        <f>SUM(N9:N11)</f>
        <v>0</v>
      </c>
      <c r="O8" s="290">
        <f>SUM(O9:O11)</f>
        <v>81713.485000000001</v>
      </c>
    </row>
    <row r="9" spans="1:15" s="213" customFormat="1" ht="12.75" customHeight="1" x14ac:dyDescent="0.25">
      <c r="A9" s="214">
        <f>A8+1</f>
        <v>3</v>
      </c>
      <c r="B9" s="292" t="s">
        <v>991</v>
      </c>
      <c r="C9" s="287">
        <v>0</v>
      </c>
      <c r="D9" s="287">
        <v>0</v>
      </c>
      <c r="E9" s="287">
        <v>0</v>
      </c>
      <c r="F9" s="287">
        <v>0</v>
      </c>
      <c r="G9" s="287">
        <f>+C9+E9</f>
        <v>0</v>
      </c>
      <c r="H9" s="288">
        <f>+D9+F9</f>
        <v>0</v>
      </c>
      <c r="I9" s="289">
        <v>0</v>
      </c>
      <c r="J9" s="287">
        <v>0</v>
      </c>
      <c r="K9" s="287">
        <v>0</v>
      </c>
      <c r="L9" s="290">
        <f>+G9-H9</f>
        <v>0</v>
      </c>
      <c r="M9" s="293"/>
      <c r="N9" s="291">
        <v>0</v>
      </c>
      <c r="O9" s="290">
        <f>H9+N9</f>
        <v>0</v>
      </c>
    </row>
    <row r="10" spans="1:15" s="213" customFormat="1" ht="12.75" customHeight="1" x14ac:dyDescent="0.25">
      <c r="A10" s="214">
        <f>+A9+1</f>
        <v>4</v>
      </c>
      <c r="B10" s="292" t="s">
        <v>972</v>
      </c>
      <c r="C10" s="287">
        <v>80821.569000000003</v>
      </c>
      <c r="D10" s="287">
        <f>C10</f>
        <v>80821.569000000003</v>
      </c>
      <c r="E10" s="287">
        <v>408</v>
      </c>
      <c r="F10" s="287">
        <f>E10</f>
        <v>408</v>
      </c>
      <c r="G10" s="287">
        <f>+C10+E10</f>
        <v>81229.569000000003</v>
      </c>
      <c r="H10" s="288">
        <f>+D10+F10</f>
        <v>81229.569000000003</v>
      </c>
      <c r="I10" s="289">
        <v>0</v>
      </c>
      <c r="J10" s="287">
        <v>0</v>
      </c>
      <c r="K10" s="287">
        <f>0+14.51332</f>
        <v>14.51332</v>
      </c>
      <c r="L10" s="290">
        <f>+G10-H10</f>
        <v>0</v>
      </c>
      <c r="M10" s="285"/>
      <c r="N10" s="291">
        <v>0</v>
      </c>
      <c r="O10" s="290">
        <f>H10+N10</f>
        <v>81229.569000000003</v>
      </c>
    </row>
    <row r="11" spans="1:15" s="213" customFormat="1" ht="12.75" customHeight="1" x14ac:dyDescent="0.25">
      <c r="A11" s="214">
        <f>+A10+1</f>
        <v>5</v>
      </c>
      <c r="B11" s="292" t="s">
        <v>969</v>
      </c>
      <c r="C11" s="287">
        <f t="shared" ref="C11:H11" si="2">+C12+C13</f>
        <v>484.94100000000003</v>
      </c>
      <c r="D11" s="287">
        <f t="shared" si="2"/>
        <v>483.916</v>
      </c>
      <c r="E11" s="287">
        <f t="shared" si="2"/>
        <v>0</v>
      </c>
      <c r="F11" s="287">
        <f t="shared" si="2"/>
        <v>0</v>
      </c>
      <c r="G11" s="287">
        <f t="shared" si="2"/>
        <v>484.94100000000003</v>
      </c>
      <c r="H11" s="288">
        <f t="shared" si="2"/>
        <v>483.916</v>
      </c>
      <c r="I11" s="1118"/>
      <c r="J11" s="287">
        <f>+J12+J13</f>
        <v>0</v>
      </c>
      <c r="K11" s="287">
        <f>+K12+K13</f>
        <v>0</v>
      </c>
      <c r="L11" s="290">
        <f>+L12+L13</f>
        <v>1.0249999999999986</v>
      </c>
      <c r="M11" s="285"/>
      <c r="N11" s="291">
        <f>+N12+N13</f>
        <v>0</v>
      </c>
      <c r="O11" s="290">
        <f>H11+N11</f>
        <v>483.916</v>
      </c>
    </row>
    <row r="12" spans="1:15" s="228" customFormat="1" ht="38.25" customHeight="1" x14ac:dyDescent="0.25">
      <c r="A12" s="214">
        <f>+A11+1</f>
        <v>6</v>
      </c>
      <c r="B12" s="254" t="s">
        <v>1260</v>
      </c>
      <c r="C12" s="255">
        <v>437</v>
      </c>
      <c r="D12" s="256">
        <v>437</v>
      </c>
      <c r="E12" s="256">
        <v>0</v>
      </c>
      <c r="F12" s="256">
        <v>0</v>
      </c>
      <c r="G12" s="237">
        <f>C12+E12</f>
        <v>437</v>
      </c>
      <c r="H12" s="257">
        <f>D12+F12</f>
        <v>437</v>
      </c>
      <c r="I12" s="255">
        <v>0</v>
      </c>
      <c r="J12" s="256">
        <v>0</v>
      </c>
      <c r="K12" s="256">
        <v>0</v>
      </c>
      <c r="L12" s="239">
        <v>0</v>
      </c>
      <c r="M12" s="258"/>
      <c r="N12" s="259">
        <v>0</v>
      </c>
      <c r="O12" s="239">
        <f>H12+N12</f>
        <v>437</v>
      </c>
    </row>
    <row r="13" spans="1:15" s="228" customFormat="1" ht="39.75" customHeight="1" x14ac:dyDescent="0.25">
      <c r="A13" s="214">
        <f t="shared" ref="A13:A23" si="3">+A12+1</f>
        <v>7</v>
      </c>
      <c r="B13" s="254" t="s">
        <v>1259</v>
      </c>
      <c r="C13" s="255">
        <f>(44)+(15-11.059)+(23-23)</f>
        <v>47.941000000000003</v>
      </c>
      <c r="D13" s="256">
        <f>(44-1.025)+(15-11.059)+(23-23)</f>
        <v>46.916000000000004</v>
      </c>
      <c r="E13" s="256">
        <v>0</v>
      </c>
      <c r="F13" s="256">
        <v>0</v>
      </c>
      <c r="G13" s="237">
        <f>C13+E13</f>
        <v>47.941000000000003</v>
      </c>
      <c r="H13" s="257">
        <f>D13+F13</f>
        <v>46.916000000000004</v>
      </c>
      <c r="I13" s="255">
        <v>0</v>
      </c>
      <c r="J13" s="256">
        <v>0</v>
      </c>
      <c r="K13" s="256">
        <f>0+0+0+0</f>
        <v>0</v>
      </c>
      <c r="L13" s="239">
        <f>G13-H13</f>
        <v>1.0249999999999986</v>
      </c>
      <c r="M13" s="258"/>
      <c r="N13" s="259">
        <v>0</v>
      </c>
      <c r="O13" s="239">
        <f>H13+N13</f>
        <v>46.916000000000004</v>
      </c>
    </row>
    <row r="14" spans="1:15" s="228" customFormat="1" ht="13.5" customHeight="1" x14ac:dyDescent="0.25">
      <c r="A14" s="294">
        <f t="shared" si="3"/>
        <v>8</v>
      </c>
      <c r="B14" s="230" t="s">
        <v>1042</v>
      </c>
      <c r="C14" s="291">
        <f t="shared" ref="C14:H14" si="4">C15+C17+C20+C22+C23</f>
        <v>25221.59</v>
      </c>
      <c r="D14" s="287">
        <f t="shared" si="4"/>
        <v>25218.44686</v>
      </c>
      <c r="E14" s="287">
        <f t="shared" si="4"/>
        <v>0</v>
      </c>
      <c r="F14" s="287">
        <f t="shared" si="4"/>
        <v>0</v>
      </c>
      <c r="G14" s="287">
        <f t="shared" si="4"/>
        <v>25221.59</v>
      </c>
      <c r="H14" s="288">
        <f t="shared" si="4"/>
        <v>25218.44686</v>
      </c>
      <c r="I14" s="1118"/>
      <c r="J14" s="287">
        <f>J15+J17+J20+J22+J23</f>
        <v>0</v>
      </c>
      <c r="K14" s="287">
        <f>K15+K17+K20+K22+K23</f>
        <v>120.10311</v>
      </c>
      <c r="L14" s="290">
        <f>L15+L17+L20+L22+L23</f>
        <v>3.1431400000000167</v>
      </c>
      <c r="M14" s="295"/>
      <c r="N14" s="291">
        <f>N15+N17+N20+N22+N23</f>
        <v>0</v>
      </c>
      <c r="O14" s="287">
        <f>O15+O17+O20+O22+O23</f>
        <v>25218.44686</v>
      </c>
    </row>
    <row r="15" spans="1:15" s="228" customFormat="1" ht="13.5" customHeight="1" x14ac:dyDescent="0.25">
      <c r="A15" s="294">
        <f t="shared" si="3"/>
        <v>9</v>
      </c>
      <c r="B15" s="292" t="s">
        <v>1043</v>
      </c>
      <c r="C15" s="287">
        <f t="shared" ref="C15:H15" si="5">C16</f>
        <v>658</v>
      </c>
      <c r="D15" s="287">
        <f t="shared" si="5"/>
        <v>658</v>
      </c>
      <c r="E15" s="287">
        <f t="shared" si="5"/>
        <v>0</v>
      </c>
      <c r="F15" s="287">
        <f t="shared" si="5"/>
        <v>0</v>
      </c>
      <c r="G15" s="287">
        <f t="shared" si="5"/>
        <v>658</v>
      </c>
      <c r="H15" s="287">
        <f t="shared" si="5"/>
        <v>658</v>
      </c>
      <c r="I15" s="1118"/>
      <c r="J15" s="287">
        <f>J16</f>
        <v>0</v>
      </c>
      <c r="K15" s="287">
        <f>K16</f>
        <v>4.0877600000000003</v>
      </c>
      <c r="L15" s="290">
        <f>L16</f>
        <v>0</v>
      </c>
      <c r="M15" s="285"/>
      <c r="N15" s="291">
        <f>N16</f>
        <v>0</v>
      </c>
      <c r="O15" s="290">
        <f>H15+N15</f>
        <v>658</v>
      </c>
    </row>
    <row r="16" spans="1:15" s="228" customFormat="1" ht="25.5" customHeight="1" x14ac:dyDescent="0.25">
      <c r="A16" s="214">
        <f>A15+1</f>
        <v>10</v>
      </c>
      <c r="B16" s="254" t="s">
        <v>1261</v>
      </c>
      <c r="C16" s="255">
        <v>658</v>
      </c>
      <c r="D16" s="256">
        <f>C16</f>
        <v>658</v>
      </c>
      <c r="E16" s="256">
        <v>0</v>
      </c>
      <c r="F16" s="256">
        <v>0</v>
      </c>
      <c r="G16" s="237">
        <f>C16+E16</f>
        <v>658</v>
      </c>
      <c r="H16" s="257">
        <f>D16+F16</f>
        <v>658</v>
      </c>
      <c r="I16" s="255">
        <v>0</v>
      </c>
      <c r="J16" s="256">
        <v>0</v>
      </c>
      <c r="K16" s="256">
        <v>4.0877600000000003</v>
      </c>
      <c r="L16" s="239">
        <f>G16-H16</f>
        <v>0</v>
      </c>
      <c r="M16" s="258"/>
      <c r="N16" s="259">
        <v>0</v>
      </c>
      <c r="O16" s="239">
        <f t="shared" ref="O16:O23" si="6">H16+N16</f>
        <v>658</v>
      </c>
    </row>
    <row r="17" spans="1:24" s="228" customFormat="1" ht="12.75" customHeight="1" x14ac:dyDescent="0.25">
      <c r="A17" s="294">
        <f t="shared" si="3"/>
        <v>11</v>
      </c>
      <c r="B17" s="292" t="s">
        <v>1044</v>
      </c>
      <c r="C17" s="287">
        <f t="shared" ref="C17:H17" si="7">+C18+C19</f>
        <v>1388</v>
      </c>
      <c r="D17" s="287">
        <f t="shared" si="7"/>
        <v>1384.8568599999999</v>
      </c>
      <c r="E17" s="287">
        <f t="shared" si="7"/>
        <v>0</v>
      </c>
      <c r="F17" s="287">
        <f t="shared" si="7"/>
        <v>0</v>
      </c>
      <c r="G17" s="287">
        <f t="shared" si="7"/>
        <v>1388</v>
      </c>
      <c r="H17" s="288">
        <f t="shared" si="7"/>
        <v>1384.8568599999999</v>
      </c>
      <c r="I17" s="1118"/>
      <c r="J17" s="287">
        <f>+J18+J19</f>
        <v>0</v>
      </c>
      <c r="K17" s="287">
        <f>+K18+K19</f>
        <v>0</v>
      </c>
      <c r="L17" s="290">
        <f>+L18+L19</f>
        <v>3.1431400000000167</v>
      </c>
      <c r="M17" s="285"/>
      <c r="N17" s="291">
        <f>+N18+N19</f>
        <v>0</v>
      </c>
      <c r="O17" s="290">
        <f>H17+N17</f>
        <v>1384.8568599999999</v>
      </c>
    </row>
    <row r="18" spans="1:24" s="213" customFormat="1" ht="25.5" x14ac:dyDescent="0.25">
      <c r="A18" s="214">
        <f>A17+1</f>
        <v>12</v>
      </c>
      <c r="B18" s="254" t="s">
        <v>1262</v>
      </c>
      <c r="C18" s="255">
        <v>774</v>
      </c>
      <c r="D18" s="256">
        <f>774-3.14314</f>
        <v>770.85685999999998</v>
      </c>
      <c r="E18" s="256">
        <v>0</v>
      </c>
      <c r="F18" s="256">
        <v>0</v>
      </c>
      <c r="G18" s="237">
        <f>C18+E18</f>
        <v>774</v>
      </c>
      <c r="H18" s="257">
        <f>D18+F18</f>
        <v>770.85685999999998</v>
      </c>
      <c r="I18" s="255">
        <v>0</v>
      </c>
      <c r="J18" s="256">
        <v>0</v>
      </c>
      <c r="K18" s="256">
        <v>0</v>
      </c>
      <c r="L18" s="239">
        <f>G18-H18</f>
        <v>3.1431400000000167</v>
      </c>
      <c r="M18" s="258"/>
      <c r="N18" s="259">
        <v>0</v>
      </c>
      <c r="O18" s="239">
        <f t="shared" si="6"/>
        <v>770.85685999999998</v>
      </c>
    </row>
    <row r="19" spans="1:24" s="213" customFormat="1" ht="25.5" x14ac:dyDescent="0.25">
      <c r="A19" s="214">
        <f>A18+1</f>
        <v>13</v>
      </c>
      <c r="B19" s="254" t="s">
        <v>1263</v>
      </c>
      <c r="C19" s="255">
        <v>614</v>
      </c>
      <c r="D19" s="256">
        <f>C19</f>
        <v>614</v>
      </c>
      <c r="E19" s="256">
        <v>0</v>
      </c>
      <c r="F19" s="256">
        <v>0</v>
      </c>
      <c r="G19" s="237">
        <f>C19+E19</f>
        <v>614</v>
      </c>
      <c r="H19" s="257">
        <f>D19+F19</f>
        <v>614</v>
      </c>
      <c r="I19" s="255">
        <v>0</v>
      </c>
      <c r="J19" s="256">
        <v>0</v>
      </c>
      <c r="K19" s="256">
        <v>0</v>
      </c>
      <c r="L19" s="239">
        <f>G19-H19</f>
        <v>0</v>
      </c>
      <c r="M19" s="258"/>
      <c r="N19" s="259">
        <v>0</v>
      </c>
      <c r="O19" s="239">
        <f>H19+N19</f>
        <v>614</v>
      </c>
    </row>
    <row r="20" spans="1:24" s="228" customFormat="1" ht="12.75" customHeight="1" x14ac:dyDescent="0.25">
      <c r="A20" s="294">
        <f>+A19+1</f>
        <v>14</v>
      </c>
      <c r="B20" s="925" t="s">
        <v>1264</v>
      </c>
      <c r="C20" s="287">
        <f>C21</f>
        <v>3260</v>
      </c>
      <c r="D20" s="287">
        <f>D21</f>
        <v>3260</v>
      </c>
      <c r="E20" s="287">
        <f>E21</f>
        <v>0</v>
      </c>
      <c r="F20" s="287">
        <f>F21</f>
        <v>0</v>
      </c>
      <c r="G20" s="287">
        <f t="shared" ref="G20:H23" si="8">+C20+E20</f>
        <v>3260</v>
      </c>
      <c r="H20" s="288">
        <f t="shared" si="8"/>
        <v>3260</v>
      </c>
      <c r="I20" s="1118"/>
      <c r="J20" s="287">
        <f>J21</f>
        <v>0</v>
      </c>
      <c r="K20" s="287">
        <f>K21</f>
        <v>11.61553</v>
      </c>
      <c r="L20" s="290">
        <f>G20-H20</f>
        <v>0</v>
      </c>
      <c r="M20" s="285"/>
      <c r="N20" s="291">
        <f>N21</f>
        <v>0</v>
      </c>
      <c r="O20" s="290">
        <f>H20+N20</f>
        <v>3260</v>
      </c>
    </row>
    <row r="21" spans="1:24" s="228" customFormat="1" ht="38.25" x14ac:dyDescent="0.25">
      <c r="A21" s="214">
        <f>A20+1</f>
        <v>15</v>
      </c>
      <c r="B21" s="254" t="s">
        <v>1265</v>
      </c>
      <c r="C21" s="255">
        <v>3260</v>
      </c>
      <c r="D21" s="256">
        <f>C21</f>
        <v>3260</v>
      </c>
      <c r="E21" s="256">
        <v>0</v>
      </c>
      <c r="F21" s="256">
        <v>0</v>
      </c>
      <c r="G21" s="237">
        <f>C21+E21</f>
        <v>3260</v>
      </c>
      <c r="H21" s="257">
        <f>D21+F21</f>
        <v>3260</v>
      </c>
      <c r="I21" s="255">
        <v>0</v>
      </c>
      <c r="J21" s="256">
        <v>0</v>
      </c>
      <c r="K21" s="256">
        <v>11.61553</v>
      </c>
      <c r="L21" s="239">
        <f>G21-H21</f>
        <v>0</v>
      </c>
      <c r="M21" s="258"/>
      <c r="N21" s="259">
        <v>0</v>
      </c>
      <c r="O21" s="239">
        <f>H21+N21</f>
        <v>3260</v>
      </c>
    </row>
    <row r="22" spans="1:24" s="228" customFormat="1" ht="12.75" customHeight="1" x14ac:dyDescent="0.25">
      <c r="A22" s="294">
        <f t="shared" si="3"/>
        <v>16</v>
      </c>
      <c r="B22" s="292" t="s">
        <v>1045</v>
      </c>
      <c r="C22" s="775">
        <v>19915.59</v>
      </c>
      <c r="D22" s="776">
        <f>C22</f>
        <v>19915.59</v>
      </c>
      <c r="E22" s="776">
        <v>0</v>
      </c>
      <c r="F22" s="776">
        <v>0</v>
      </c>
      <c r="G22" s="287">
        <f t="shared" si="8"/>
        <v>19915.59</v>
      </c>
      <c r="H22" s="288">
        <f t="shared" si="8"/>
        <v>19915.59</v>
      </c>
      <c r="I22" s="1119"/>
      <c r="J22" s="776">
        <v>0</v>
      </c>
      <c r="K22" s="776">
        <f>104.39982+0</f>
        <v>104.39982000000001</v>
      </c>
      <c r="L22" s="290">
        <f>G22-H22</f>
        <v>0</v>
      </c>
      <c r="M22" s="285"/>
      <c r="N22" s="777">
        <v>0</v>
      </c>
      <c r="O22" s="290">
        <f t="shared" si="6"/>
        <v>19915.59</v>
      </c>
    </row>
    <row r="23" spans="1:24" s="228" customFormat="1" ht="12.75" customHeight="1" x14ac:dyDescent="0.25">
      <c r="A23" s="294">
        <f t="shared" si="3"/>
        <v>17</v>
      </c>
      <c r="B23" s="296" t="s">
        <v>1046</v>
      </c>
      <c r="C23" s="775">
        <v>0</v>
      </c>
      <c r="D23" s="776">
        <v>0</v>
      </c>
      <c r="E23" s="776">
        <v>0</v>
      </c>
      <c r="F23" s="776">
        <v>0</v>
      </c>
      <c r="G23" s="287">
        <f t="shared" si="8"/>
        <v>0</v>
      </c>
      <c r="H23" s="288">
        <f t="shared" si="8"/>
        <v>0</v>
      </c>
      <c r="I23" s="1118"/>
      <c r="J23" s="776">
        <v>0</v>
      </c>
      <c r="K23" s="776">
        <v>0</v>
      </c>
      <c r="L23" s="290">
        <f>+G23-H23</f>
        <v>0</v>
      </c>
      <c r="M23" s="285"/>
      <c r="N23" s="777">
        <v>0</v>
      </c>
      <c r="O23" s="290">
        <f t="shared" si="6"/>
        <v>0</v>
      </c>
    </row>
    <row r="24" spans="1:24" s="228" customFormat="1" ht="13.5" customHeight="1" x14ac:dyDescent="0.25">
      <c r="A24" s="224">
        <f>A23+1</f>
        <v>18</v>
      </c>
      <c r="B24" s="230" t="s">
        <v>869</v>
      </c>
      <c r="C24" s="291">
        <f t="shared" ref="C24:H24" si="9">C25+C29+C31+C35</f>
        <v>34003.010999999999</v>
      </c>
      <c r="D24" s="287">
        <f t="shared" si="9"/>
        <v>33884.787859999997</v>
      </c>
      <c r="E24" s="287">
        <f t="shared" si="9"/>
        <v>0</v>
      </c>
      <c r="F24" s="287">
        <f t="shared" si="9"/>
        <v>0</v>
      </c>
      <c r="G24" s="287">
        <f t="shared" si="9"/>
        <v>34003.010999999999</v>
      </c>
      <c r="H24" s="287">
        <f t="shared" si="9"/>
        <v>33884.787859999997</v>
      </c>
      <c r="I24" s="1120"/>
      <c r="J24" s="287">
        <f>J25+J29+J31+J35</f>
        <v>10430.75052</v>
      </c>
      <c r="K24" s="287">
        <f>K25+K29+K31+K35</f>
        <v>300.49025000000006</v>
      </c>
      <c r="L24" s="290">
        <f>L25+L29+L31+L35</f>
        <v>118.22313999999892</v>
      </c>
      <c r="M24" s="295"/>
      <c r="N24" s="291">
        <f>N25+N29+N31+N35</f>
        <v>0</v>
      </c>
      <c r="O24" s="290">
        <f>O25+O29+O31+O35</f>
        <v>33884.787859999997</v>
      </c>
    </row>
    <row r="25" spans="1:24" s="228" customFormat="1" ht="25.5" customHeight="1" x14ac:dyDescent="0.25">
      <c r="A25" s="248">
        <f t="shared" ref="A25:A37" si="10">+A24+1</f>
        <v>19</v>
      </c>
      <c r="B25" s="230" t="s">
        <v>1047</v>
      </c>
      <c r="C25" s="287">
        <f t="shared" ref="C25:H25" si="11">C26+C27+C28</f>
        <v>9176</v>
      </c>
      <c r="D25" s="287">
        <f t="shared" si="11"/>
        <v>9107.6555800000006</v>
      </c>
      <c r="E25" s="287">
        <f t="shared" si="11"/>
        <v>0</v>
      </c>
      <c r="F25" s="287">
        <f t="shared" si="11"/>
        <v>0</v>
      </c>
      <c r="G25" s="287">
        <f t="shared" si="11"/>
        <v>9176</v>
      </c>
      <c r="H25" s="287">
        <f t="shared" si="11"/>
        <v>9107.6555800000006</v>
      </c>
      <c r="I25" s="1118"/>
      <c r="J25" s="287">
        <f>J26+J27+J28</f>
        <v>2948.9505199999999</v>
      </c>
      <c r="K25" s="287">
        <f>K26+K27+K28</f>
        <v>13.41545</v>
      </c>
      <c r="L25" s="290">
        <f>L26+L27+L28</f>
        <v>68.344419999999218</v>
      </c>
      <c r="M25" s="285"/>
      <c r="N25" s="291">
        <f>N26+N27+N28</f>
        <v>0</v>
      </c>
      <c r="O25" s="290">
        <f>H25+N25</f>
        <v>9107.6555800000006</v>
      </c>
    </row>
    <row r="26" spans="1:24" s="228" customFormat="1" ht="38.25" x14ac:dyDescent="0.25">
      <c r="A26" s="229">
        <f t="shared" si="10"/>
        <v>20</v>
      </c>
      <c r="B26" s="254" t="s">
        <v>1236</v>
      </c>
      <c r="C26" s="297">
        <f>1417+1519+739+2807+656</f>
        <v>7138</v>
      </c>
      <c r="D26" s="298">
        <f>1388.00052+1506.97485+739+2800.92769+635.14796</f>
        <v>7070.0510200000008</v>
      </c>
      <c r="E26" s="298">
        <v>0</v>
      </c>
      <c r="F26" s="298">
        <v>0</v>
      </c>
      <c r="G26" s="237">
        <f t="shared" ref="G26:H28" si="12">C26+E26</f>
        <v>7138</v>
      </c>
      <c r="H26" s="257">
        <f t="shared" si="12"/>
        <v>7070.0510200000008</v>
      </c>
      <c r="I26" s="297">
        <v>0</v>
      </c>
      <c r="J26" s="298">
        <f>(809-28.99948)+(337-5.5)+160+1614+(64-0.55)</f>
        <v>2948.9505199999999</v>
      </c>
      <c r="K26" s="298">
        <f>0+0+0+0+0</f>
        <v>0</v>
      </c>
      <c r="L26" s="239">
        <f>G26-H26</f>
        <v>67.94897999999921</v>
      </c>
      <c r="M26" s="252"/>
      <c r="N26" s="299">
        <v>0</v>
      </c>
      <c r="O26" s="239">
        <f t="shared" ref="O26:O30" si="13">H26+N26</f>
        <v>7070.0510200000008</v>
      </c>
      <c r="Q26" s="213"/>
    </row>
    <row r="27" spans="1:24" s="228" customFormat="1" ht="38.25" x14ac:dyDescent="0.25">
      <c r="A27" s="229">
        <f>A26+1</f>
        <v>21</v>
      </c>
      <c r="B27" s="1126" t="s">
        <v>1336</v>
      </c>
      <c r="C27" s="255">
        <v>1706</v>
      </c>
      <c r="D27" s="256">
        <v>1706</v>
      </c>
      <c r="E27" s="256">
        <v>0</v>
      </c>
      <c r="F27" s="256">
        <v>0</v>
      </c>
      <c r="G27" s="237">
        <f t="shared" si="12"/>
        <v>1706</v>
      </c>
      <c r="H27" s="257">
        <f t="shared" si="12"/>
        <v>1706</v>
      </c>
      <c r="I27" s="255">
        <v>0</v>
      </c>
      <c r="J27" s="256">
        <v>0</v>
      </c>
      <c r="K27" s="256">
        <v>13.41545</v>
      </c>
      <c r="L27" s="239">
        <f>G27-H27</f>
        <v>0</v>
      </c>
      <c r="M27" s="258"/>
      <c r="N27" s="259">
        <v>0</v>
      </c>
      <c r="O27" s="239">
        <f t="shared" ref="O27" si="14">H27+N27</f>
        <v>1706</v>
      </c>
      <c r="P27" s="1499"/>
      <c r="Q27" s="339"/>
      <c r="R27" s="1499"/>
      <c r="S27" s="1499"/>
      <c r="T27" s="1499"/>
      <c r="U27" s="1499"/>
      <c r="V27" s="1499"/>
      <c r="W27" s="1499"/>
      <c r="X27" s="1499"/>
    </row>
    <row r="28" spans="1:24" s="228" customFormat="1" ht="38.25" x14ac:dyDescent="0.25">
      <c r="A28" s="214">
        <f>A27+1</f>
        <v>22</v>
      </c>
      <c r="B28" s="254" t="s">
        <v>1237</v>
      </c>
      <c r="C28" s="255">
        <v>332</v>
      </c>
      <c r="D28" s="256">
        <f>(332-0.39544)</f>
        <v>331.60455999999999</v>
      </c>
      <c r="E28" s="256">
        <v>0</v>
      </c>
      <c r="F28" s="256">
        <v>0</v>
      </c>
      <c r="G28" s="237">
        <f t="shared" si="12"/>
        <v>332</v>
      </c>
      <c r="H28" s="257">
        <f t="shared" si="12"/>
        <v>331.60455999999999</v>
      </c>
      <c r="I28" s="255">
        <v>0</v>
      </c>
      <c r="J28" s="256">
        <v>0</v>
      </c>
      <c r="K28" s="256">
        <v>0</v>
      </c>
      <c r="L28" s="239">
        <f>G28-H28</f>
        <v>0.39544000000000779</v>
      </c>
      <c r="M28" s="258"/>
      <c r="N28" s="259">
        <v>0</v>
      </c>
      <c r="O28" s="239">
        <f t="shared" si="13"/>
        <v>331.60455999999999</v>
      </c>
      <c r="P28" s="1499"/>
      <c r="Q28" s="1499"/>
      <c r="R28" s="1499"/>
      <c r="S28" s="1499"/>
      <c r="T28" s="1499"/>
      <c r="U28" s="1499"/>
      <c r="V28" s="1499"/>
      <c r="W28" s="1499"/>
      <c r="X28" s="1499"/>
    </row>
    <row r="29" spans="1:24" s="228" customFormat="1" ht="25.5" customHeight="1" x14ac:dyDescent="0.25">
      <c r="A29" s="248">
        <f>+A28+1</f>
        <v>23</v>
      </c>
      <c r="B29" s="230" t="s">
        <v>1048</v>
      </c>
      <c r="C29" s="287">
        <f>+C30</f>
        <v>0</v>
      </c>
      <c r="D29" s="1500">
        <f t="shared" ref="D29:N29" si="15">+D30</f>
        <v>0</v>
      </c>
      <c r="E29" s="1500">
        <f t="shared" si="15"/>
        <v>0</v>
      </c>
      <c r="F29" s="1500">
        <f t="shared" si="15"/>
        <v>0</v>
      </c>
      <c r="G29" s="1500">
        <f t="shared" si="15"/>
        <v>0</v>
      </c>
      <c r="H29" s="1501">
        <f t="shared" si="15"/>
        <v>0</v>
      </c>
      <c r="I29" s="1502"/>
      <c r="J29" s="1500">
        <f t="shared" si="15"/>
        <v>0</v>
      </c>
      <c r="K29" s="1500">
        <f t="shared" si="15"/>
        <v>0</v>
      </c>
      <c r="L29" s="1503">
        <f t="shared" si="15"/>
        <v>0</v>
      </c>
      <c r="M29" s="285"/>
      <c r="N29" s="1504">
        <f t="shared" si="15"/>
        <v>0</v>
      </c>
      <c r="O29" s="1503">
        <f t="shared" si="13"/>
        <v>0</v>
      </c>
      <c r="P29" s="1499"/>
      <c r="Q29" s="1499"/>
      <c r="R29" s="1499"/>
      <c r="S29" s="1499"/>
      <c r="T29" s="1499"/>
      <c r="U29" s="1499"/>
      <c r="V29" s="1499"/>
      <c r="W29" s="1499"/>
      <c r="X29" s="1499"/>
    </row>
    <row r="30" spans="1:24" s="228" customFormat="1" ht="12.75" x14ac:dyDescent="0.25">
      <c r="A30" s="214">
        <f>A29+1</f>
        <v>24</v>
      </c>
      <c r="B30" s="254"/>
      <c r="C30" s="255">
        <v>0</v>
      </c>
      <c r="D30" s="256">
        <f>C30</f>
        <v>0</v>
      </c>
      <c r="E30" s="256">
        <v>0</v>
      </c>
      <c r="F30" s="256">
        <v>0</v>
      </c>
      <c r="G30" s="237">
        <f>C30+E30</f>
        <v>0</v>
      </c>
      <c r="H30" s="257">
        <f>D30+F30</f>
        <v>0</v>
      </c>
      <c r="I30" s="255">
        <v>0</v>
      </c>
      <c r="J30" s="256">
        <v>0</v>
      </c>
      <c r="K30" s="256">
        <v>0</v>
      </c>
      <c r="L30" s="239">
        <f>G30-H30</f>
        <v>0</v>
      </c>
      <c r="M30" s="258"/>
      <c r="N30" s="259">
        <v>0</v>
      </c>
      <c r="O30" s="239">
        <f t="shared" si="13"/>
        <v>0</v>
      </c>
      <c r="P30" s="1499"/>
      <c r="Q30" s="1499"/>
      <c r="R30" s="1499"/>
      <c r="S30" s="1499"/>
      <c r="T30" s="1499"/>
      <c r="U30" s="1499"/>
      <c r="V30" s="1499"/>
      <c r="W30" s="1499"/>
      <c r="X30" s="1499"/>
    </row>
    <row r="31" spans="1:24" s="213" customFormat="1" ht="12.75" customHeight="1" x14ac:dyDescent="0.25">
      <c r="A31" s="248">
        <f>A30+1</f>
        <v>25</v>
      </c>
      <c r="B31" s="301" t="s">
        <v>970</v>
      </c>
      <c r="C31" s="287">
        <f>C32+C33+C34</f>
        <v>23346</v>
      </c>
      <c r="D31" s="1500">
        <f>D32+D33+D34</f>
        <v>23296.121279999999</v>
      </c>
      <c r="E31" s="1500">
        <f t="shared" ref="E31:K31" si="16">E32+E33+E34</f>
        <v>0</v>
      </c>
      <c r="F31" s="1500">
        <f t="shared" si="16"/>
        <v>0</v>
      </c>
      <c r="G31" s="1500">
        <f t="shared" si="16"/>
        <v>23346</v>
      </c>
      <c r="H31" s="1500">
        <f t="shared" si="16"/>
        <v>23296.121279999999</v>
      </c>
      <c r="I31" s="1502"/>
      <c r="J31" s="1500">
        <f t="shared" si="16"/>
        <v>6678</v>
      </c>
      <c r="K31" s="1500">
        <f t="shared" si="16"/>
        <v>287.07480000000004</v>
      </c>
      <c r="L31" s="1503">
        <f>L32+L33+L34</f>
        <v>49.878719999999703</v>
      </c>
      <c r="M31" s="285"/>
      <c r="N31" s="1504">
        <f>N32+N33+N34</f>
        <v>0</v>
      </c>
      <c r="O31" s="1503">
        <f t="shared" ref="O31:O36" si="17">H31+N31</f>
        <v>23296.121279999999</v>
      </c>
      <c r="P31" s="339"/>
      <c r="Q31" s="339"/>
      <c r="R31" s="339"/>
      <c r="S31" s="339"/>
      <c r="T31" s="339"/>
      <c r="U31" s="339"/>
      <c r="V31" s="339"/>
      <c r="W31" s="339"/>
      <c r="X31" s="339"/>
    </row>
    <row r="32" spans="1:24" s="228" customFormat="1" ht="25.5" customHeight="1" x14ac:dyDescent="0.25">
      <c r="A32" s="214">
        <f t="shared" si="10"/>
        <v>26</v>
      </c>
      <c r="B32" s="254" t="s">
        <v>1349</v>
      </c>
      <c r="C32" s="255">
        <v>17573</v>
      </c>
      <c r="D32" s="256">
        <f>C32</f>
        <v>17573</v>
      </c>
      <c r="E32" s="256">
        <v>0</v>
      </c>
      <c r="F32" s="256">
        <v>0</v>
      </c>
      <c r="G32" s="237">
        <f t="shared" ref="G32:H33" si="18">C32+E32</f>
        <v>17573</v>
      </c>
      <c r="H32" s="257">
        <f t="shared" si="18"/>
        <v>17573</v>
      </c>
      <c r="I32" s="255">
        <v>0</v>
      </c>
      <c r="J32" s="256">
        <v>6678</v>
      </c>
      <c r="K32" s="256">
        <f>36+25+40+0.89261+45.4589+69.72329</f>
        <v>217.07480000000004</v>
      </c>
      <c r="L32" s="239">
        <f>G32-H32</f>
        <v>0</v>
      </c>
      <c r="M32" s="258"/>
      <c r="N32" s="259">
        <v>0</v>
      </c>
      <c r="O32" s="239">
        <f t="shared" si="17"/>
        <v>17573</v>
      </c>
      <c r="P32" s="1499"/>
      <c r="Q32" s="1499"/>
      <c r="R32" s="1499"/>
      <c r="S32" s="1499"/>
      <c r="T32" s="1499"/>
      <c r="U32" s="1499"/>
      <c r="V32" s="1499"/>
      <c r="W32" s="1499"/>
      <c r="X32" s="1499"/>
    </row>
    <row r="33" spans="1:15" s="228" customFormat="1" ht="25.5" customHeight="1" x14ac:dyDescent="0.25">
      <c r="A33" s="214">
        <f t="shared" si="10"/>
        <v>27</v>
      </c>
      <c r="B33" s="254" t="s">
        <v>1348</v>
      </c>
      <c r="C33" s="255">
        <v>398</v>
      </c>
      <c r="D33" s="256">
        <f>C33</f>
        <v>398</v>
      </c>
      <c r="E33" s="256">
        <v>0</v>
      </c>
      <c r="F33" s="256">
        <v>0</v>
      </c>
      <c r="G33" s="237">
        <f t="shared" si="18"/>
        <v>398</v>
      </c>
      <c r="H33" s="257">
        <f t="shared" si="18"/>
        <v>398</v>
      </c>
      <c r="I33" s="255">
        <v>0</v>
      </c>
      <c r="J33" s="256">
        <v>0</v>
      </c>
      <c r="K33" s="256">
        <v>0</v>
      </c>
      <c r="L33" s="239">
        <f>G33-H33</f>
        <v>0</v>
      </c>
      <c r="M33" s="258"/>
      <c r="N33" s="259">
        <v>0</v>
      </c>
      <c r="O33" s="239">
        <f t="shared" si="17"/>
        <v>398</v>
      </c>
    </row>
    <row r="34" spans="1:15" s="228" customFormat="1" ht="25.5" x14ac:dyDescent="0.25">
      <c r="A34" s="214">
        <f t="shared" si="10"/>
        <v>28</v>
      </c>
      <c r="B34" s="300" t="s">
        <v>1347</v>
      </c>
      <c r="C34" s="255">
        <f>1371+461+925+775+743+1100</f>
        <v>5375</v>
      </c>
      <c r="D34" s="256">
        <f>(1371-49.87872)+461+925+775+743+1100</f>
        <v>5325.1212800000003</v>
      </c>
      <c r="E34" s="256">
        <v>0</v>
      </c>
      <c r="F34" s="256">
        <v>0</v>
      </c>
      <c r="G34" s="237">
        <f>C34+E34</f>
        <v>5375</v>
      </c>
      <c r="H34" s="257">
        <f>D34+F34</f>
        <v>5325.1212800000003</v>
      </c>
      <c r="I34" s="255">
        <v>0</v>
      </c>
      <c r="J34" s="256">
        <v>0</v>
      </c>
      <c r="K34" s="256">
        <f>0+0+0+15+0+55</f>
        <v>70</v>
      </c>
      <c r="L34" s="239">
        <f>G34-H34</f>
        <v>49.878719999999703</v>
      </c>
      <c r="M34" s="258"/>
      <c r="N34" s="259">
        <v>0</v>
      </c>
      <c r="O34" s="239">
        <f>H34+N34</f>
        <v>5325.1212800000003</v>
      </c>
    </row>
    <row r="35" spans="1:15" s="213" customFormat="1" ht="12.75" customHeight="1" x14ac:dyDescent="0.25">
      <c r="A35" s="248">
        <f>A34+1</f>
        <v>29</v>
      </c>
      <c r="B35" s="301" t="s">
        <v>971</v>
      </c>
      <c r="C35" s="287">
        <f t="shared" ref="C35:H35" si="19">+C36+C37</f>
        <v>1481.011</v>
      </c>
      <c r="D35" s="287">
        <f t="shared" si="19"/>
        <v>1481.011</v>
      </c>
      <c r="E35" s="287">
        <f t="shared" si="19"/>
        <v>0</v>
      </c>
      <c r="F35" s="287">
        <f t="shared" si="19"/>
        <v>0</v>
      </c>
      <c r="G35" s="287">
        <f t="shared" si="19"/>
        <v>1481.011</v>
      </c>
      <c r="H35" s="288">
        <f t="shared" si="19"/>
        <v>1481.011</v>
      </c>
      <c r="I35" s="1118"/>
      <c r="J35" s="287">
        <f>+J36+J37</f>
        <v>803.8</v>
      </c>
      <c r="K35" s="287">
        <f>+K36+K37</f>
        <v>0</v>
      </c>
      <c r="L35" s="290">
        <f>+L36+L37</f>
        <v>0</v>
      </c>
      <c r="M35" s="285"/>
      <c r="N35" s="291">
        <f>+N36+N37</f>
        <v>0</v>
      </c>
      <c r="O35" s="290">
        <f>H35+N35</f>
        <v>1481.011</v>
      </c>
    </row>
    <row r="36" spans="1:15" s="213" customFormat="1" ht="38.25" x14ac:dyDescent="0.25">
      <c r="A36" s="214">
        <f t="shared" si="10"/>
        <v>30</v>
      </c>
      <c r="B36" s="915" t="s">
        <v>1266</v>
      </c>
      <c r="C36" s="908">
        <v>1150.432</v>
      </c>
      <c r="D36" s="909">
        <f>C36</f>
        <v>1150.432</v>
      </c>
      <c r="E36" s="909">
        <v>0</v>
      </c>
      <c r="F36" s="909">
        <v>0</v>
      </c>
      <c r="G36" s="910">
        <f>+C36+E36</f>
        <v>1150.432</v>
      </c>
      <c r="H36" s="911">
        <f>+D36+F36</f>
        <v>1150.432</v>
      </c>
      <c r="I36" s="1121">
        <v>0</v>
      </c>
      <c r="J36" s="909">
        <v>803.8</v>
      </c>
      <c r="K36" s="909">
        <v>0</v>
      </c>
      <c r="L36" s="912">
        <f>+G36-H36</f>
        <v>0</v>
      </c>
      <c r="M36" s="913"/>
      <c r="N36" s="914">
        <v>0</v>
      </c>
      <c r="O36" s="912">
        <f t="shared" si="17"/>
        <v>1150.432</v>
      </c>
    </row>
    <row r="37" spans="1:15" s="213" customFormat="1" ht="51" x14ac:dyDescent="0.25">
      <c r="A37" s="214">
        <f t="shared" si="10"/>
        <v>31</v>
      </c>
      <c r="B37" s="915" t="s">
        <v>1267</v>
      </c>
      <c r="C37" s="908">
        <v>330.57900000000001</v>
      </c>
      <c r="D37" s="909">
        <f>C37</f>
        <v>330.57900000000001</v>
      </c>
      <c r="E37" s="909">
        <v>0</v>
      </c>
      <c r="F37" s="909">
        <v>0</v>
      </c>
      <c r="G37" s="910">
        <f>+C37+E37</f>
        <v>330.57900000000001</v>
      </c>
      <c r="H37" s="911">
        <f>+D37+F37</f>
        <v>330.57900000000001</v>
      </c>
      <c r="I37" s="1121">
        <v>0</v>
      </c>
      <c r="J37" s="909">
        <v>0</v>
      </c>
      <c r="K37" s="909">
        <v>0</v>
      </c>
      <c r="L37" s="912">
        <f>+G37-H37</f>
        <v>0</v>
      </c>
      <c r="M37" s="913"/>
      <c r="N37" s="914">
        <v>0</v>
      </c>
      <c r="O37" s="912">
        <f>H37+N37</f>
        <v>330.57900000000001</v>
      </c>
    </row>
    <row r="38" spans="1:15" s="228" customFormat="1" ht="12.75" customHeight="1" x14ac:dyDescent="0.25">
      <c r="A38" s="224">
        <f>+A37+1</f>
        <v>32</v>
      </c>
      <c r="B38" s="230" t="s">
        <v>867</v>
      </c>
      <c r="C38" s="291">
        <f t="shared" ref="C38:H38" si="20">C39</f>
        <v>0</v>
      </c>
      <c r="D38" s="287">
        <f t="shared" si="20"/>
        <v>0</v>
      </c>
      <c r="E38" s="287">
        <f t="shared" si="20"/>
        <v>0</v>
      </c>
      <c r="F38" s="287">
        <f t="shared" si="20"/>
        <v>0</v>
      </c>
      <c r="G38" s="287">
        <f t="shared" si="20"/>
        <v>0</v>
      </c>
      <c r="H38" s="287">
        <f t="shared" si="20"/>
        <v>0</v>
      </c>
      <c r="I38" s="1122"/>
      <c r="J38" s="287">
        <f>J39</f>
        <v>0</v>
      </c>
      <c r="K38" s="287">
        <f>K39</f>
        <v>0</v>
      </c>
      <c r="L38" s="232">
        <f>G38-H38</f>
        <v>0</v>
      </c>
      <c r="M38" s="285"/>
      <c r="N38" s="291">
        <f>N39</f>
        <v>0</v>
      </c>
      <c r="O38" s="290">
        <f>O39</f>
        <v>0</v>
      </c>
    </row>
    <row r="39" spans="1:15" s="213" customFormat="1" ht="12.75" customHeight="1" x14ac:dyDescent="0.25">
      <c r="A39" s="294">
        <f>+A38+1</f>
        <v>33</v>
      </c>
      <c r="B39" s="230" t="s">
        <v>965</v>
      </c>
      <c r="C39" s="231">
        <f t="shared" ref="C39:L39" si="21">+C40</f>
        <v>0</v>
      </c>
      <c r="D39" s="231">
        <f t="shared" si="21"/>
        <v>0</v>
      </c>
      <c r="E39" s="231">
        <f t="shared" si="21"/>
        <v>0</v>
      </c>
      <c r="F39" s="231">
        <f t="shared" si="21"/>
        <v>0</v>
      </c>
      <c r="G39" s="231">
        <f t="shared" si="21"/>
        <v>0</v>
      </c>
      <c r="H39" s="250">
        <f t="shared" si="21"/>
        <v>0</v>
      </c>
      <c r="I39" s="1123">
        <f t="shared" si="21"/>
        <v>0</v>
      </c>
      <c r="J39" s="231">
        <f t="shared" si="21"/>
        <v>0</v>
      </c>
      <c r="K39" s="231">
        <f t="shared" si="21"/>
        <v>0</v>
      </c>
      <c r="L39" s="232">
        <f t="shared" si="21"/>
        <v>0</v>
      </c>
      <c r="M39" s="252"/>
      <c r="N39" s="234">
        <f>+N40</f>
        <v>0</v>
      </c>
      <c r="O39" s="232">
        <f>H39+N39</f>
        <v>0</v>
      </c>
    </row>
    <row r="40" spans="1:15" s="213" customFormat="1" ht="12.75" customHeight="1" x14ac:dyDescent="0.25">
      <c r="A40" s="214">
        <f>+A39+1</f>
        <v>34</v>
      </c>
      <c r="B40" s="305"/>
      <c r="C40" s="302"/>
      <c r="D40" s="303"/>
      <c r="E40" s="303"/>
      <c r="F40" s="303"/>
      <c r="G40" s="237">
        <f>+C40+E40</f>
        <v>0</v>
      </c>
      <c r="H40" s="257">
        <f>+D40+F40</f>
        <v>0</v>
      </c>
      <c r="I40" s="1124"/>
      <c r="J40" s="303"/>
      <c r="K40" s="303"/>
      <c r="L40" s="239">
        <f>+G40-H40</f>
        <v>0</v>
      </c>
      <c r="M40" s="252"/>
      <c r="N40" s="304"/>
      <c r="O40" s="239">
        <f>H40+N40</f>
        <v>0</v>
      </c>
    </row>
    <row r="41" spans="1:15" s="228" customFormat="1" ht="13.5" customHeight="1" x14ac:dyDescent="0.25">
      <c r="A41" s="224">
        <f>+A40+1</f>
        <v>35</v>
      </c>
      <c r="B41" s="230" t="s">
        <v>885</v>
      </c>
      <c r="C41" s="291">
        <f t="shared" ref="C41:H41" si="22">SUM(C42:C45)</f>
        <v>5989.3937299999998</v>
      </c>
      <c r="D41" s="287">
        <f t="shared" si="22"/>
        <v>5955.2921399999996</v>
      </c>
      <c r="E41" s="287">
        <f t="shared" si="22"/>
        <v>0</v>
      </c>
      <c r="F41" s="287">
        <f t="shared" si="22"/>
        <v>0</v>
      </c>
      <c r="G41" s="287">
        <f t="shared" si="22"/>
        <v>5989.3937299999998</v>
      </c>
      <c r="H41" s="288">
        <f t="shared" si="22"/>
        <v>5955.2921399999996</v>
      </c>
      <c r="I41" s="1118"/>
      <c r="J41" s="287">
        <f>SUM(J42:J45)</f>
        <v>0</v>
      </c>
      <c r="K41" s="287">
        <f>SUM(K42:K45)</f>
        <v>0</v>
      </c>
      <c r="L41" s="290">
        <f>SUM(L42:L45)</f>
        <v>34.101590000000215</v>
      </c>
      <c r="M41" s="285"/>
      <c r="N41" s="291">
        <f>SUM(N42:N45)</f>
        <v>0</v>
      </c>
      <c r="O41" s="290">
        <f>SUM(O42:O45)</f>
        <v>5955.2921399999996</v>
      </c>
    </row>
    <row r="42" spans="1:15" s="213" customFormat="1" ht="12.75" customHeight="1" x14ac:dyDescent="0.25">
      <c r="A42" s="248">
        <f>A41+1</f>
        <v>36</v>
      </c>
      <c r="B42" s="301" t="s">
        <v>818</v>
      </c>
      <c r="C42" s="231">
        <f>0+3153.33364</f>
        <v>3153.3336399999998</v>
      </c>
      <c r="D42" s="231">
        <f>(0-34.10159)+3153.33364</f>
        <v>3119.2320499999996</v>
      </c>
      <c r="E42" s="231">
        <v>0</v>
      </c>
      <c r="F42" s="231">
        <v>0</v>
      </c>
      <c r="G42" s="231">
        <f t="shared" ref="G42:H45" si="23">C42+E42</f>
        <v>3153.3336399999998</v>
      </c>
      <c r="H42" s="250">
        <f t="shared" si="23"/>
        <v>3119.2320499999996</v>
      </c>
      <c r="I42" s="1123">
        <v>100</v>
      </c>
      <c r="J42" s="231">
        <v>0</v>
      </c>
      <c r="K42" s="231">
        <v>0</v>
      </c>
      <c r="L42" s="232">
        <f>G42-H42</f>
        <v>34.101590000000215</v>
      </c>
      <c r="M42" s="252"/>
      <c r="N42" s="234">
        <v>0</v>
      </c>
      <c r="O42" s="232">
        <f>H42+N42</f>
        <v>3119.2320499999996</v>
      </c>
    </row>
    <row r="43" spans="1:15" s="213" customFormat="1" ht="12.75" customHeight="1" x14ac:dyDescent="0.25">
      <c r="A43" s="248">
        <f>A42+1</f>
        <v>37</v>
      </c>
      <c r="B43" s="926" t="s">
        <v>1270</v>
      </c>
      <c r="C43" s="231">
        <f>1453.56382+622.7</f>
        <v>2076.2638200000001</v>
      </c>
      <c r="D43" s="231">
        <f>C43</f>
        <v>2076.2638200000001</v>
      </c>
      <c r="E43" s="231">
        <v>0</v>
      </c>
      <c r="F43" s="231">
        <v>0</v>
      </c>
      <c r="G43" s="231">
        <f t="shared" si="23"/>
        <v>2076.2638200000001</v>
      </c>
      <c r="H43" s="250">
        <f t="shared" si="23"/>
        <v>2076.2638200000001</v>
      </c>
      <c r="I43" s="1123">
        <v>100</v>
      </c>
      <c r="J43" s="231">
        <v>0</v>
      </c>
      <c r="K43" s="231">
        <v>0</v>
      </c>
      <c r="L43" s="232">
        <f>G43-H43</f>
        <v>0</v>
      </c>
      <c r="M43" s="252"/>
      <c r="N43" s="234">
        <v>0</v>
      </c>
      <c r="O43" s="232">
        <f>H43+N43</f>
        <v>2076.2638200000001</v>
      </c>
    </row>
    <row r="44" spans="1:15" s="213" customFormat="1" ht="12.75" customHeight="1" x14ac:dyDescent="0.25">
      <c r="A44" s="248">
        <f>A43+1</f>
        <v>38</v>
      </c>
      <c r="B44" s="926" t="s">
        <v>1369</v>
      </c>
      <c r="C44" s="231">
        <f>572.18935</f>
        <v>572.18934999999999</v>
      </c>
      <c r="D44" s="231">
        <f>C44</f>
        <v>572.18934999999999</v>
      </c>
      <c r="E44" s="231">
        <v>0</v>
      </c>
      <c r="F44" s="231">
        <v>0</v>
      </c>
      <c r="G44" s="231">
        <f t="shared" ref="G44" si="24">C44+E44</f>
        <v>572.18934999999999</v>
      </c>
      <c r="H44" s="250">
        <f t="shared" ref="H44" si="25">D44+F44</f>
        <v>572.18934999999999</v>
      </c>
      <c r="I44" s="1123">
        <v>100</v>
      </c>
      <c r="J44" s="231">
        <v>0</v>
      </c>
      <c r="K44" s="231">
        <v>0</v>
      </c>
      <c r="L44" s="232">
        <f>G44-H44</f>
        <v>0</v>
      </c>
      <c r="M44" s="252"/>
      <c r="N44" s="234">
        <v>0</v>
      </c>
      <c r="O44" s="232">
        <f>H44+N44</f>
        <v>572.18934999999999</v>
      </c>
    </row>
    <row r="45" spans="1:15" s="213" customFormat="1" ht="12.75" customHeight="1" thickBot="1" x14ac:dyDescent="0.3">
      <c r="A45" s="248">
        <f>A44+1</f>
        <v>39</v>
      </c>
      <c r="B45" s="301" t="s">
        <v>1368</v>
      </c>
      <c r="C45" s="231">
        <v>187.60692</v>
      </c>
      <c r="D45" s="231">
        <f>C45</f>
        <v>187.60692</v>
      </c>
      <c r="E45" s="231">
        <v>0</v>
      </c>
      <c r="F45" s="231">
        <v>0</v>
      </c>
      <c r="G45" s="231">
        <f t="shared" si="23"/>
        <v>187.60692</v>
      </c>
      <c r="H45" s="250">
        <f t="shared" si="23"/>
        <v>187.60692</v>
      </c>
      <c r="I45" s="1123">
        <v>100</v>
      </c>
      <c r="J45" s="231">
        <v>0</v>
      </c>
      <c r="K45" s="231">
        <v>0</v>
      </c>
      <c r="L45" s="232">
        <f>G45-H45</f>
        <v>0</v>
      </c>
      <c r="M45" s="252"/>
      <c r="N45" s="234">
        <v>0</v>
      </c>
      <c r="O45" s="232">
        <f>H45+N45</f>
        <v>187.60692</v>
      </c>
    </row>
    <row r="46" spans="1:15" s="213" customFormat="1" ht="13.5" customHeight="1" thickBot="1" x14ac:dyDescent="0.3">
      <c r="A46" s="306">
        <f>A45+1</f>
        <v>40</v>
      </c>
      <c r="B46" s="307" t="s">
        <v>813</v>
      </c>
      <c r="C46" s="308">
        <f t="shared" ref="C46:H46" si="26">+C7+C24+C38+C41</f>
        <v>146520.50473000002</v>
      </c>
      <c r="D46" s="309">
        <f t="shared" si="26"/>
        <v>146364.01186</v>
      </c>
      <c r="E46" s="309">
        <f t="shared" si="26"/>
        <v>408</v>
      </c>
      <c r="F46" s="309">
        <f t="shared" si="26"/>
        <v>408</v>
      </c>
      <c r="G46" s="309">
        <f t="shared" si="26"/>
        <v>146928.50473000002</v>
      </c>
      <c r="H46" s="310">
        <f t="shared" si="26"/>
        <v>146772.01186</v>
      </c>
      <c r="I46" s="1125"/>
      <c r="J46" s="309">
        <f>+J7+J24+J38+J41</f>
        <v>10430.75052</v>
      </c>
      <c r="K46" s="309">
        <f>+K7+K24+K38+K41</f>
        <v>435.1066800000001</v>
      </c>
      <c r="L46" s="311">
        <f>+L7+L24+L38+L41</f>
        <v>156.49286999999916</v>
      </c>
      <c r="M46" s="312"/>
      <c r="N46" s="308">
        <f>+N7+N24+N38+N41</f>
        <v>0</v>
      </c>
      <c r="O46" s="311">
        <f>+O7+O24+O38+O41</f>
        <v>146772.01186</v>
      </c>
    </row>
    <row r="47" spans="1:15" s="119" customFormat="1" ht="13.5" customHeight="1" x14ac:dyDescent="0.25">
      <c r="A47" s="118"/>
      <c r="B47" s="313"/>
      <c r="C47" s="114"/>
      <c r="D47" s="114"/>
      <c r="E47" s="114"/>
      <c r="F47" s="114"/>
      <c r="G47" s="114"/>
      <c r="H47" s="114"/>
      <c r="I47" s="114"/>
      <c r="J47" s="862">
        <v>10430.75052</v>
      </c>
      <c r="K47" s="864" t="s">
        <v>1238</v>
      </c>
      <c r="L47" s="114"/>
      <c r="M47" s="114"/>
      <c r="N47" s="114"/>
      <c r="O47" s="114"/>
    </row>
    <row r="48" spans="1:15" ht="22.5" customHeight="1" x14ac:dyDescent="0.25">
      <c r="A48" s="213" t="s">
        <v>657</v>
      </c>
      <c r="B48" s="787"/>
      <c r="J48" s="863">
        <f>J46-J47</f>
        <v>0</v>
      </c>
      <c r="K48" s="865" t="s">
        <v>738</v>
      </c>
      <c r="M48" s="113"/>
    </row>
    <row r="49" spans="1:15" ht="56.25" customHeight="1" x14ac:dyDescent="0.25">
      <c r="A49" s="1242" t="s">
        <v>992</v>
      </c>
      <c r="B49" s="1242"/>
      <c r="C49" s="1242"/>
      <c r="D49" s="1242"/>
      <c r="E49" s="1242"/>
      <c r="F49" s="1242"/>
      <c r="G49" s="1242"/>
      <c r="H49" s="1242"/>
      <c r="I49" s="1242"/>
      <c r="J49" s="1242"/>
      <c r="K49" s="1242"/>
      <c r="L49" s="1242"/>
      <c r="M49" s="1242"/>
      <c r="N49" s="1242"/>
      <c r="O49" s="1242"/>
    </row>
    <row r="50" spans="1:15" ht="30" customHeight="1" x14ac:dyDescent="0.25">
      <c r="A50" s="1242" t="s">
        <v>873</v>
      </c>
      <c r="B50" s="1242"/>
      <c r="C50" s="1242"/>
      <c r="D50" s="1242"/>
      <c r="E50" s="1242"/>
      <c r="F50" s="1242"/>
      <c r="G50" s="1242"/>
      <c r="H50" s="1242"/>
      <c r="I50" s="1242"/>
      <c r="J50" s="1242"/>
      <c r="K50" s="1242"/>
      <c r="L50" s="1242"/>
      <c r="M50" s="1242"/>
      <c r="N50" s="1242"/>
      <c r="O50" s="1242"/>
    </row>
    <row r="51" spans="1:15" ht="34.5" customHeight="1" x14ac:dyDescent="0.25">
      <c r="A51" s="1242" t="s">
        <v>953</v>
      </c>
      <c r="B51" s="1242"/>
      <c r="C51" s="1242"/>
      <c r="D51" s="1242"/>
      <c r="E51" s="1242"/>
      <c r="F51" s="1242"/>
      <c r="G51" s="1242"/>
      <c r="H51" s="1242"/>
      <c r="I51" s="1242"/>
      <c r="J51" s="1242"/>
      <c r="K51" s="1242"/>
      <c r="L51" s="1242"/>
      <c r="M51" s="1242"/>
      <c r="N51" s="1242"/>
      <c r="O51" s="1242"/>
    </row>
    <row r="52" spans="1:15" ht="27.75" customHeight="1" x14ac:dyDescent="0.25">
      <c r="A52" s="1242" t="s">
        <v>905</v>
      </c>
      <c r="B52" s="1242"/>
      <c r="C52" s="1242"/>
      <c r="D52" s="1242"/>
      <c r="E52" s="1242"/>
      <c r="F52" s="1242"/>
      <c r="G52" s="1242"/>
      <c r="H52" s="1242"/>
      <c r="I52" s="1242"/>
      <c r="J52" s="1242"/>
      <c r="K52" s="1242"/>
      <c r="L52" s="1242"/>
      <c r="M52" s="1242"/>
      <c r="N52" s="1242"/>
      <c r="O52" s="1242"/>
    </row>
    <row r="53" spans="1:15" x14ac:dyDescent="0.25">
      <c r="A53" s="1242" t="s">
        <v>993</v>
      </c>
      <c r="B53" s="1242"/>
      <c r="C53" s="1242"/>
      <c r="D53" s="1242"/>
      <c r="E53" s="1242"/>
      <c r="F53" s="1242"/>
      <c r="G53" s="1242"/>
      <c r="H53" s="1242"/>
      <c r="I53" s="1242"/>
      <c r="J53" s="1242"/>
      <c r="K53" s="1242"/>
      <c r="L53" s="1242"/>
      <c r="M53" s="1242"/>
      <c r="N53" s="1242"/>
      <c r="O53" s="1242"/>
    </row>
    <row r="54" spans="1:15" ht="26.25" customHeight="1" x14ac:dyDescent="0.25">
      <c r="A54" s="1242" t="s">
        <v>994</v>
      </c>
      <c r="B54" s="1242"/>
      <c r="C54" s="1242"/>
      <c r="D54" s="1242"/>
      <c r="E54" s="1242"/>
      <c r="F54" s="1242"/>
      <c r="G54" s="1242"/>
      <c r="H54" s="1242"/>
      <c r="I54" s="1242"/>
      <c r="J54" s="1242"/>
      <c r="K54" s="1242"/>
      <c r="L54" s="1242"/>
      <c r="M54" s="1242"/>
      <c r="N54" s="1242"/>
      <c r="O54" s="1242"/>
    </row>
    <row r="55" spans="1:15" ht="19.5" customHeight="1" x14ac:dyDescent="0.25">
      <c r="A55" s="1242" t="s">
        <v>1001</v>
      </c>
      <c r="B55" s="1242"/>
      <c r="C55" s="1242"/>
      <c r="D55" s="1242"/>
      <c r="E55" s="1242"/>
      <c r="F55" s="1242"/>
      <c r="G55" s="1242"/>
      <c r="H55" s="1242"/>
      <c r="I55" s="1242"/>
      <c r="J55" s="1242"/>
      <c r="K55" s="1242"/>
      <c r="L55" s="1242"/>
      <c r="M55" s="1242"/>
      <c r="N55" s="1242"/>
      <c r="O55" s="1242"/>
    </row>
    <row r="56" spans="1:15" ht="17.25" customHeight="1" x14ac:dyDescent="0.25">
      <c r="A56" s="1242" t="s">
        <v>995</v>
      </c>
      <c r="B56" s="1242"/>
      <c r="C56" s="1242"/>
      <c r="D56" s="1242"/>
      <c r="E56" s="1242"/>
      <c r="F56" s="1242"/>
      <c r="G56" s="1242"/>
      <c r="H56" s="1242"/>
      <c r="I56" s="1242"/>
      <c r="J56" s="1242"/>
      <c r="K56" s="1242"/>
      <c r="L56" s="1242"/>
      <c r="M56" s="1242"/>
      <c r="N56" s="1242"/>
      <c r="O56" s="1242"/>
    </row>
    <row r="57" spans="1:15" s="213" customFormat="1" ht="12.75" x14ac:dyDescent="0.25">
      <c r="M57" s="314"/>
    </row>
    <row r="58" spans="1:15" s="213" customFormat="1" ht="12.75" x14ac:dyDescent="0.25">
      <c r="A58" s="213" t="s">
        <v>822</v>
      </c>
      <c r="M58" s="314"/>
    </row>
  </sheetData>
  <mergeCells count="19">
    <mergeCell ref="G4:H4"/>
    <mergeCell ref="B4:B6"/>
    <mergeCell ref="C4:D4"/>
    <mergeCell ref="A56:O56"/>
    <mergeCell ref="A53:O53"/>
    <mergeCell ref="J4:J5"/>
    <mergeCell ref="A55:O55"/>
    <mergeCell ref="O4:O5"/>
    <mergeCell ref="A49:O49"/>
    <mergeCell ref="A52:O52"/>
    <mergeCell ref="A50:O50"/>
    <mergeCell ref="A51:O51"/>
    <mergeCell ref="A4:A6"/>
    <mergeCell ref="A54:O54"/>
    <mergeCell ref="L4:L5"/>
    <mergeCell ref="N4:N5"/>
    <mergeCell ref="I4:I5"/>
    <mergeCell ref="E4:F4"/>
    <mergeCell ref="K4:K5"/>
  </mergeCells>
  <phoneticPr fontId="15" type="noConversion"/>
  <printOptions horizontalCentered="1"/>
  <pageMargins left="0" right="0" top="0.59055118110236227" bottom="0.3937007874015748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24</vt:i4>
      </vt:variant>
      <vt:variant>
        <vt:lpstr>Pojmenované oblasti</vt:lpstr>
      </vt:variant>
      <vt:variant>
        <vt:i4>10</vt:i4>
      </vt:variant>
    </vt:vector>
  </HeadingPairs>
  <TitlesOfParts>
    <vt:vector size="34" baseType="lpstr">
      <vt:lpstr>1</vt:lpstr>
      <vt:lpstr>2</vt:lpstr>
      <vt:lpstr>2a škola</vt:lpstr>
      <vt:lpstr>2b Koleje a menzy</vt:lpstr>
      <vt:lpstr>3</vt:lpstr>
      <vt:lpstr>4</vt:lpstr>
      <vt:lpstr>5 </vt:lpstr>
      <vt:lpstr>5.a</vt:lpstr>
      <vt:lpstr>5.b</vt:lpstr>
      <vt:lpstr>5.c</vt:lpstr>
      <vt:lpstr>5.d</vt:lpstr>
      <vt:lpstr>6</vt:lpstr>
      <vt:lpstr>7</vt:lpstr>
      <vt:lpstr>8</vt:lpstr>
      <vt:lpstr>9</vt:lpstr>
      <vt:lpstr>10</vt:lpstr>
      <vt:lpstr>11</vt:lpstr>
      <vt:lpstr>11.a</vt:lpstr>
      <vt:lpstr>11.b</vt:lpstr>
      <vt:lpstr>11.c</vt:lpstr>
      <vt:lpstr>11.d</vt:lpstr>
      <vt:lpstr>11.e</vt:lpstr>
      <vt:lpstr>11.f</vt:lpstr>
      <vt:lpstr>11.g</vt:lpstr>
      <vt:lpstr>'1'!Názvy_tisku</vt:lpstr>
      <vt:lpstr>'5 '!Názvy_tisku</vt:lpstr>
      <vt:lpstr>'1'!Oblast_tisku</vt:lpstr>
      <vt:lpstr>'2'!Oblast_tisku</vt:lpstr>
      <vt:lpstr>'2a škola'!Oblast_tisku</vt:lpstr>
      <vt:lpstr>'2b Koleje a menzy'!Oblast_tisku</vt:lpstr>
      <vt:lpstr>'3'!Oblast_tisku</vt:lpstr>
      <vt:lpstr>'5.d'!Oblast_tisku</vt:lpstr>
      <vt:lpstr>'6'!Oblast_tisku</vt:lpstr>
      <vt:lpstr>'8'!Oblast_tisku</vt:lpstr>
    </vt:vector>
  </TitlesOfParts>
  <Company>Ministerstvo školství, mládeže a tělovýchovy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machackova</dc:creator>
  <cp:lastModifiedBy>Lenert</cp:lastModifiedBy>
  <cp:lastPrinted>2016-04-11T19:54:27Z</cp:lastPrinted>
  <dcterms:created xsi:type="dcterms:W3CDTF">2010-10-08T09:48:15Z</dcterms:created>
  <dcterms:modified xsi:type="dcterms:W3CDTF">2016-06-28T11:07:40Z</dcterms:modified>
</cp:coreProperties>
</file>